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shboard" sheetId="2" state="visible" r:id="rId2"/>
    <sheet name="Rent Ledger" sheetId="3" state="visible" r:id="rId3"/>
    <sheet name="Tenant Statement" sheetId="4" state="visible" r:id="rId4"/>
    <sheet name="Monthly" sheetId="5" state="visible" r:id="rId5"/>
    <sheet name="Deposits" sheetId="6" state="visible" r:id="rId6"/>
    <sheet name="Setup" sheetId="7" state="visible" r:id="rId7"/>
  </sheets>
  <definedNames>
    <definedName name="Tenants">Setup!$B$9:$B$58</definedName>
    <definedName name="TenantProperty">Setup!$C$9:$C$58</definedName>
    <definedName name="TenantUnit">Setup!$D$9:$D$58</definedName>
    <definedName name="TenantRent">Setup!$E$9:$E$58</definedName>
    <definedName name="TenantDeposit">Setup!$G$9:$G$58</definedName>
    <definedName name="TenantLeaseStart">Setup!$H$9:$H$58</definedName>
    <definedName name="TenantLeaseEnd">Setup!$I$9:$I$58</definedName>
    <definedName name="TenantPhone">Setup!$J$9:$J$58</definedName>
    <definedName name="TenantEmail">Setup!$K$9:$K$58</definedName>
    <definedName name="Methods">Setup!$N$9:$N$20</definedName>
    <definedName name="EntryTypes">Setup!$P$9:$P$16</definedName>
    <definedName name="DepositTypes">Setup!$R$9:$R$12</definedName>
    <definedName name="ReportYear">Setup!$C$5</definedName>
    <definedName name="LDate">'Rent Ledger'!$B$7:$B$1006</definedName>
    <definedName name="LTenant">'Rent Ledger'!$C$7:$C$1006</definedName>
    <definedName name="LType">'Rent Ledger'!$F$7:$F$1006</definedName>
    <definedName name="LCharge">'Rent Ledger'!$J$7:$J$1006</definedName>
    <definedName name="LPayment">'Rent Ledger'!$K$7:$K$1006</definedName>
    <definedName name="_xlnm.Print_Area" localSheetId="5">OFFSET('Deposits'!$A$1,0,0,MAX(27,COUNTA('Deposits'!$B$7:$B$1006)+9),COLUMN('Deposits'!$I$1))</definedName>
    <definedName name="_xlnm.Print_Area" localSheetId="1">'Dashboard'!$A$1:$K$57</definedName>
    <definedName name="_xlnm._FilterDatabase" localSheetId="2" hidden="1">'Rent Ledger'!$B$6:$L$1006</definedName>
    <definedName name="_xlnm.Print_Titles" localSheetId="2">'Rent Ledger'!$6:$6</definedName>
    <definedName name="_xlnm.Print_Titles" localSheetId="3">'Tenant Statement'!$15:$15</definedName>
    <definedName name="_xlnm.Print_Area" localSheetId="3">'Tenant Statement'!$A$1:$J$65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;[Red]-&quot;$&quot;#,##0.00;&quot;–&quot;"/>
    <numFmt numFmtId="165" formatCode="mmm d, yyyy"/>
    <numFmt numFmtId="166" formatCode="&quot;$&quot;#,##0.00;&quot;–$&quot;#,##0.00&quot; cr&quot;;&quot;$0.00&quot;"/>
    <numFmt numFmtId="167" formatCode="&quot;$&quot;#,##0;[Red]-&quot;$&quot;#,##0;&quot;$&quot;0"/>
    <numFmt numFmtId="168" formatCode="0.0%"/>
    <numFmt numFmtId="169" formatCode="&quot;$&quot;#,##0.00;&quot;-$&quot;#,##0.00;&quot;$0.00&quot;"/>
  </numFmts>
  <fonts count="25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D4D4D8"/>
      <sz val="10"/>
    </font>
    <font>
      <name val="Arial"/>
      <b val="1"/>
      <color rgb="0000F5D4"/>
      <sz val="11"/>
    </font>
    <font>
      <name val="Arial"/>
      <color rgb="00D4D4D8"/>
      <sz val="9"/>
      <u val="single"/>
    </font>
    <font>
      <name val="Arial"/>
      <b val="1"/>
      <color rgb="0018181B"/>
      <sz val="10"/>
    </font>
    <font>
      <name val="Arial"/>
      <color rgb="0071717A"/>
      <sz val="9"/>
    </font>
    <font>
      <name val="Arial"/>
      <b val="1"/>
      <color rgb="0018181B"/>
      <sz val="12"/>
    </font>
    <font>
      <name val="Arial"/>
      <b val="1"/>
      <color rgb="0018181B"/>
      <sz val="9"/>
    </font>
    <font>
      <name val="Arial"/>
      <b val="1"/>
      <color rgb="00FFFFFF"/>
      <sz val="9"/>
    </font>
    <font>
      <name val="Arial"/>
      <color rgb="0018181B"/>
      <sz val="10"/>
    </font>
    <font>
      <name val="Arial"/>
      <color rgb="003F3F46"/>
      <sz val="10"/>
    </font>
    <font>
      <name val="Arial"/>
      <b val="1"/>
      <color rgb="0071717A"/>
      <sz val="9"/>
    </font>
    <font>
      <name val="Arial"/>
      <b val="1"/>
      <color rgb="0018181B"/>
      <sz val="22"/>
    </font>
    <font>
      <name val="Arial"/>
      <color rgb="0071717A"/>
      <sz val="8"/>
    </font>
    <font>
      <name val="Arial"/>
      <i val="1"/>
      <color rgb="0071717A"/>
      <sz val="8"/>
    </font>
    <font>
      <name val="Arial"/>
      <i val="1"/>
      <color rgb="0071717A"/>
      <sz val="9"/>
    </font>
    <font>
      <name val="Arial"/>
      <b val="1"/>
      <color rgb="00D4D4D8"/>
      <sz val="9"/>
    </font>
    <font>
      <name val="Arial"/>
      <b val="1"/>
      <color rgb="0000F5D4"/>
      <sz val="22"/>
    </font>
    <font>
      <name val="Arial"/>
      <color rgb="00A1A1AA"/>
      <sz val="8"/>
    </font>
    <font>
      <name val="Arial"/>
      <b val="1"/>
      <color rgb="0018181B"/>
      <sz val="14"/>
    </font>
    <font>
      <name val="Arial"/>
      <b val="1"/>
      <color rgb="0018181B"/>
      <sz val="11"/>
    </font>
    <font>
      <name val="Arial"/>
      <b val="1"/>
      <color rgb="000F766E"/>
      <sz val="12"/>
    </font>
    <font>
      <name val="Arial"/>
      <b val="1"/>
      <color rgb="00FFFFFF"/>
      <sz val="13"/>
    </font>
    <font>
      <name val="Arial"/>
      <b val="1"/>
      <color rgb="0000F5D4"/>
      <sz val="10"/>
      <u val="single"/>
    </font>
  </fonts>
  <fills count="7">
    <fill>
      <patternFill/>
    </fill>
    <fill>
      <patternFill patternType="gray125"/>
    </fill>
    <fill>
      <patternFill patternType="solid">
        <fgColor rgb="0000F5D4"/>
        <bgColor rgb="0000F5D4"/>
      </patternFill>
    </fill>
    <fill>
      <patternFill patternType="solid">
        <fgColor rgb="0018181B"/>
        <bgColor rgb="0018181B"/>
      </patternFill>
    </fill>
    <fill>
      <patternFill patternType="solid">
        <fgColor rgb="00FFFFFF"/>
        <bgColor rgb="00FFFFFF"/>
      </patternFill>
    </fill>
    <fill>
      <patternFill patternType="solid">
        <fgColor rgb="00E6FFFA"/>
        <bgColor rgb="00E6FFFA"/>
      </patternFill>
    </fill>
    <fill>
      <patternFill patternType="solid">
        <fgColor rgb="00FAFAFA"/>
        <bgColor rgb="00FAFAFA"/>
      </patternFill>
    </fill>
  </fills>
  <borders count="18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  <border>
      <left style="thin">
        <color rgb="00E4E4E7"/>
      </left>
    </border>
    <border>
      <left style="thin">
        <color rgb="00E4E4E7"/>
      </left>
      <bottom style="thin">
        <color rgb="00E4E4E7"/>
      </bottom>
    </border>
    <border/>
    <border>
      <bottom style="thin">
        <color rgb="00E4E4E7"/>
      </bottom>
    </border>
    <border>
      <left/>
      <right/>
      <top/>
      <bottom style="thin">
        <color rgb="00E4E4E7"/>
      </bottom>
      <diagonal/>
    </border>
    <border>
      <right style="thin">
        <color rgb="00E4E4E7"/>
      </right>
    </border>
    <border>
      <right style="thin">
        <color rgb="00E4E4E7"/>
      </right>
      <bottom style="thin">
        <color rgb="00E4E4E7"/>
      </bottom>
    </border>
    <border>
      <left style="thin">
        <color rgb="00E4E4E7"/>
      </left>
      <right style="thin">
        <color rgb="00E4E4E7"/>
      </right>
    </border>
    <border>
      <left/>
      <right style="thin">
        <color rgb="00E4E4E7"/>
      </right>
      <top/>
      <bottom/>
      <diagonal/>
    </border>
    <border>
      <left style="thin">
        <color rgb="00E4E4E7"/>
      </left>
      <right style="thin">
        <color rgb="00E4E4E7"/>
      </right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  <diagonal/>
    </border>
    <border>
      <left style="medium">
        <color rgb="000F766E"/>
      </left>
      <right style="thin">
        <color rgb="00E4E4E7"/>
      </right>
      <top style="thin">
        <color rgb="00E4E4E7"/>
      </top>
      <bottom style="thin">
        <color rgb="00E4E4E7"/>
      </bottom>
    </border>
    <border>
      <left/>
      <right/>
      <top style="thin">
        <color rgb="00E4E4E7"/>
      </top>
      <bottom/>
      <diagonal/>
    </border>
    <border>
      <left/>
      <right style="thin">
        <color rgb="00E4E4E7"/>
      </right>
      <top style="thin">
        <color rgb="00E4E4E7"/>
      </top>
      <bottom/>
      <diagonal/>
    </border>
    <border>
      <left/>
      <right/>
      <top style="thin">
        <color rgb="00E4E4E7"/>
      </top>
      <bottom style="thin">
        <color rgb="00E4E4E7"/>
      </bottom>
      <diagonal/>
    </border>
    <border>
      <left/>
      <right style="thin">
        <color rgb="00E4E4E7"/>
      </right>
      <top style="thin">
        <color rgb="00E4E4E7"/>
      </top>
      <bottom style="thin">
        <color rgb="00E4E4E7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3" borderId="0" applyAlignment="1" pivotButton="0" quotePrefix="0" xfId="0">
      <alignment vertical="center"/>
    </xf>
    <xf numFmtId="0" fontId="3" fillId="3" borderId="0" applyAlignment="1" pivotButton="0" quotePrefix="0" xfId="0">
      <alignment horizontal="right" vertical="center"/>
    </xf>
    <xf numFmtId="0" fontId="2" fillId="3" borderId="0" applyAlignment="1" pivotButton="0" quotePrefix="0" xfId="0">
      <alignment vertical="top"/>
    </xf>
    <xf numFmtId="0" fontId="4" fillId="3" borderId="0" applyAlignment="1" pivotButton="0" quotePrefix="0" xfId="0">
      <alignment horizontal="right" vertical="top"/>
    </xf>
    <xf numFmtId="0" fontId="20" fillId="0" borderId="0" pivotButton="0" quotePrefix="0" xfId="0"/>
    <xf numFmtId="0" fontId="20" fillId="2" borderId="0" applyAlignment="1" pivotButton="0" quotePrefix="0" xfId="0">
      <alignment horizontal="center" vertical="center"/>
    </xf>
    <xf numFmtId="0" fontId="21" fillId="0" borderId="0" applyAlignment="1" pivotButton="0" quotePrefix="0" xfId="0">
      <alignment vertical="center" indent="1"/>
    </xf>
    <xf numFmtId="0" fontId="11" fillId="0" borderId="0" applyAlignment="1" pivotButton="0" quotePrefix="0" xfId="0">
      <alignment vertical="top" wrapText="1" indent="1"/>
    </xf>
    <xf numFmtId="0" fontId="22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9" fillId="3" borderId="1" applyAlignment="1" pivotButton="0" quotePrefix="0" xfId="0">
      <alignment horizontal="left" vertical="center" wrapText="1" indent="1"/>
    </xf>
    <xf numFmtId="0" fontId="0" fillId="0" borderId="16" pivotButton="0" quotePrefix="0" xfId="0"/>
    <xf numFmtId="0" fontId="0" fillId="0" borderId="17" pivotButton="0" quotePrefix="0" xfId="0"/>
    <xf numFmtId="0" fontId="5" fillId="0" borderId="1" applyAlignment="1" pivotButton="0" quotePrefix="0" xfId="0">
      <alignment horizontal="left" vertical="center" indent="1"/>
    </xf>
    <xf numFmtId="0" fontId="10" fillId="0" borderId="1" applyAlignment="1" pivotButton="0" quotePrefix="0" xfId="0">
      <alignment horizontal="left" vertical="center" indent="1"/>
    </xf>
    <xf numFmtId="0" fontId="1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3" fillId="3" borderId="0" pivotButton="0" quotePrefix="0" xfId="0"/>
    <xf numFmtId="0" fontId="2" fillId="3" borderId="0" pivotButton="0" quotePrefix="0" xfId="0"/>
    <xf numFmtId="0" fontId="24" fillId="3" borderId="0" pivotButton="0" quotePrefix="0" xfId="0"/>
    <xf numFmtId="0" fontId="15" fillId="0" borderId="0" pivotButton="0" quotePrefix="0" xfId="0"/>
    <xf numFmtId="0" fontId="6" fillId="0" borderId="0" pivotButton="0" quotePrefix="0" xfId="0"/>
    <xf numFmtId="0" fontId="12" fillId="4" borderId="2" applyAlignment="1" pivotButton="0" quotePrefix="0" xfId="0">
      <alignment vertical="bottom" indent="1"/>
    </xf>
    <xf numFmtId="0" fontId="12" fillId="4" borderId="9" applyAlignment="1" pivotButton="0" quotePrefix="0" xfId="0">
      <alignment vertical="bottom" indent="1"/>
    </xf>
    <xf numFmtId="0" fontId="0" fillId="0" borderId="10" pivotButton="0" quotePrefix="0" xfId="0"/>
    <xf numFmtId="167" fontId="13" fillId="4" borderId="2" applyAlignment="1" pivotButton="0" quotePrefix="0" xfId="0">
      <alignment horizontal="left" vertical="center" indent="1"/>
    </xf>
    <xf numFmtId="168" fontId="13" fillId="4" borderId="2" applyAlignment="1" pivotButton="0" quotePrefix="0" xfId="0">
      <alignment horizontal="left" vertical="center" indent="1"/>
    </xf>
    <xf numFmtId="167" fontId="13" fillId="4" borderId="9" applyAlignment="1" pivotButton="0" quotePrefix="0" xfId="0">
      <alignment horizontal="left" vertical="center" indent="1"/>
    </xf>
    <xf numFmtId="0" fontId="14" fillId="4" borderId="3" applyAlignment="1" pivotButton="0" quotePrefix="0" xfId="0">
      <alignment vertical="top" indent="1"/>
    </xf>
    <xf numFmtId="0" fontId="0" fillId="0" borderId="6" pivotButton="0" quotePrefix="0" xfId="0"/>
    <xf numFmtId="0" fontId="14" fillId="4" borderId="11" applyAlignment="1" pivotButton="0" quotePrefix="0" xfId="0">
      <alignment vertical="top" indent="1"/>
    </xf>
    <xf numFmtId="0" fontId="0" fillId="0" borderId="12" pivotButton="0" quotePrefix="0" xfId="0"/>
    <xf numFmtId="0" fontId="7" fillId="0" borderId="0" pivotButton="0" quotePrefix="0" xfId="0"/>
    <xf numFmtId="164" fontId="10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5" fontId="10" fillId="0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 wrapText="1" indent="1"/>
    </xf>
    <xf numFmtId="165" fontId="10" fillId="0" borderId="1" applyAlignment="1" pivotButton="0" quotePrefix="0" xfId="0">
      <alignment horizontal="left" vertical="center" indent="1"/>
    </xf>
    <xf numFmtId="0" fontId="11" fillId="6" borderId="1" applyAlignment="1" pivotButton="0" quotePrefix="0" xfId="0">
      <alignment horizontal="left" vertical="center" indent="1"/>
    </xf>
    <xf numFmtId="166" fontId="5" fillId="6" borderId="1" applyAlignment="1" pivotButton="0" quotePrefix="0" xfId="0">
      <alignment horizontal="right" vertical="center"/>
    </xf>
    <xf numFmtId="0" fontId="5" fillId="0" borderId="0" pivotButton="0" quotePrefix="0" xfId="0"/>
    <xf numFmtId="0" fontId="7" fillId="5" borderId="13" applyAlignment="1" pivotButton="0" quotePrefix="0" xfId="0">
      <alignment vertical="center" indent="1"/>
    </xf>
    <xf numFmtId="0" fontId="16" fillId="0" borderId="0" pivotButton="0" quotePrefix="0" xfId="0"/>
    <xf numFmtId="0" fontId="12" fillId="0" borderId="0" pivotButton="0" quotePrefix="0" xfId="0"/>
    <xf numFmtId="0" fontId="5" fillId="0" borderId="0" applyAlignment="1" pivotButton="0" quotePrefix="0" xfId="0">
      <alignment horizontal="left"/>
    </xf>
    <xf numFmtId="0" fontId="17" fillId="3" borderId="0" applyAlignment="1" pivotButton="0" quotePrefix="0" xfId="0">
      <alignment indent="1"/>
    </xf>
    <xf numFmtId="164" fontId="5" fillId="0" borderId="0" applyAlignment="1" pivotButton="0" quotePrefix="0" xfId="0">
      <alignment horizontal="left"/>
    </xf>
    <xf numFmtId="169" fontId="18" fillId="3" borderId="0" applyAlignment="1" pivotButton="0" quotePrefix="0" xfId="0">
      <alignment vertical="center" indent="1"/>
    </xf>
    <xf numFmtId="0" fontId="19" fillId="3" borderId="0" applyAlignment="1" pivotButton="0" quotePrefix="0" xfId="0">
      <alignment indent="1"/>
    </xf>
    <xf numFmtId="164" fontId="10" fillId="6" borderId="1" applyAlignment="1" pivotButton="0" quotePrefix="0" xfId="0">
      <alignment horizontal="right" vertical="center"/>
    </xf>
    <xf numFmtId="9" fontId="10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indent="1"/>
    </xf>
    <xf numFmtId="164" fontId="5" fillId="5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right" vertical="center"/>
    </xf>
    <xf numFmtId="0" fontId="10" fillId="5" borderId="1" applyAlignment="1" pivotButton="0" quotePrefix="0" xfId="0">
      <alignment horizontal="left" vertical="center" indent="1"/>
    </xf>
    <xf numFmtId="164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indent="1"/>
    </xf>
    <xf numFmtId="0" fontId="10" fillId="0" borderId="1" applyAlignment="1" pivotButton="0" quotePrefix="0" xfId="0">
      <alignment horizontal="right" vertical="center"/>
    </xf>
    <xf numFmtId="0" fontId="10" fillId="6" borderId="1" applyAlignment="1" pivotButton="0" quotePrefix="0" xfId="0">
      <alignment horizontal="left" vertical="center" indent="1"/>
    </xf>
  </cellXfs>
  <cellStyles count="1">
    <cellStyle name="Normal" xfId="0" builtinId="0" hidden="0"/>
  </cellStyles>
  <dxfs count="8">
    <dxf>
      <font>
        <name val="Arial"/>
        <b val="1"/>
        <color rgb="00166534"/>
      </font>
      <fill>
        <patternFill patternType="solid">
          <fgColor rgb="00DCFCE7"/>
          <bgColor rgb="00DCFCE7"/>
        </patternFill>
      </fill>
    </dxf>
    <dxf>
      <font>
        <name val="Arial"/>
        <b val="1"/>
        <color rgb="0092400E"/>
      </font>
      <fill>
        <patternFill patternType="solid">
          <fgColor rgb="00FEF3C7"/>
          <bgColor rgb="00FEF3C7"/>
        </patternFill>
      </fill>
    </dxf>
    <dxf>
      <font>
        <name val="Arial"/>
        <b val="1"/>
        <color rgb="00991B1B"/>
      </font>
      <fill>
        <patternFill patternType="solid">
          <fgColor rgb="00FEE2E2"/>
          <bgColor rgb="00FEE2E2"/>
        </patternFill>
      </fill>
    </dxf>
    <dxf>
      <font>
        <name val="Arial"/>
        <b val="1"/>
        <color rgb="000F766E"/>
      </font>
      <fill>
        <patternFill patternType="solid">
          <fgColor rgb="00E6FFFA"/>
          <bgColor rgb="00E6FFFA"/>
        </patternFill>
      </fill>
    </dxf>
    <dxf>
      <font>
        <name val="Arial"/>
        <color rgb="0018181B"/>
      </font>
    </dxf>
    <dxf>
      <font>
        <name val="Arial"/>
        <b val="1"/>
        <color rgb="00166534"/>
      </font>
    </dxf>
    <dxf>
      <font>
        <name val="Arial"/>
        <i val="1"/>
        <color rgb="0092400E"/>
      </font>
    </dxf>
    <dxf>
      <font>
        <name val="Arial"/>
        <b val="1"/>
        <color rgb="00991B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style val="10"/>
  <chart>
    <plotArea>
      <barChart>
        <barDir val="col"/>
        <grouping val="clustered"/>
        <ser>
          <idx val="0"/>
          <order val="0"/>
          <tx>
            <strRef>
              <f>'Monthly'!C6</f>
            </strRef>
          </tx>
          <spPr>
            <a:solidFill>
              <a:srgbClr val="D4D4D8"/>
            </a:solidFill>
            <a:ln>
              <a:noFill/>
              <a:prstDash val="solid"/>
            </a:ln>
          </spPr>
          <cat>
            <numRef>
              <f>'Monthly'!$B$7:$B$18</f>
            </numRef>
          </cat>
          <val>
            <numRef>
              <f>'Monthly'!$C$7:$C$18</f>
            </numRef>
          </val>
        </ser>
        <ser>
          <idx val="1"/>
          <order val="1"/>
          <tx>
            <strRef>
              <f>'Monthly'!D6</f>
            </strRef>
          </tx>
          <spPr>
            <a:solidFill>
              <a:srgbClr val="14B8A6"/>
            </a:solidFill>
            <a:ln>
              <a:noFill/>
              <a:prstDash val="solid"/>
            </a:ln>
          </spPr>
          <cat>
            <numRef>
              <f>'Monthly'!$B$7:$B$18</f>
            </numRef>
          </cat>
          <val>
            <numRef>
              <f>'Monthly'!$D$7:$D$18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12</row>
      <rowOff>0</rowOff>
    </from>
    <ext cx="9540000" cy="27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andlordsdesk.com/?utm_source=template&amp;utm_medium=xlsx&amp;utm_campaign=rent_ledg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00F5D4"/>
    <outlinePr summaryBelow="1" summaryRight="1"/>
    <pageSetUpPr fitToPage="1"/>
  </sheetPr>
  <dimension ref="A1:J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2" t="n"/>
      <c r="B2" s="3" t="inlineStr">
        <is>
          <t>Rent Ledger Kit</t>
        </is>
      </c>
      <c r="C2" s="2" t="n"/>
      <c r="D2" s="2" t="n"/>
      <c r="E2" s="2" t="n"/>
      <c r="F2" s="2" t="n"/>
      <c r="G2" s="2" t="n"/>
      <c r="H2" s="2" t="n"/>
      <c r="I2" s="2" t="n"/>
      <c r="J2" s="4" t="inlineStr">
        <is>
          <t>Landlord's Desk</t>
        </is>
      </c>
    </row>
    <row r="3" ht="20" customHeight="1">
      <c r="A3" s="2" t="n"/>
      <c r="B3" s="5" t="inlineStr">
        <is>
          <t>A rent ledger that settles "I already paid you." Free from Landlord's Desk.</t>
        </is>
      </c>
      <c r="C3" s="2" t="n"/>
      <c r="D3" s="2" t="n"/>
      <c r="E3" s="2" t="n"/>
      <c r="F3" s="2" t="n"/>
      <c r="G3" s="2" t="n"/>
      <c r="H3" s="2" t="n"/>
      <c r="I3" s="2" t="n"/>
      <c r="J3" s="6" t="inlineStr">
        <is>
          <t>landlordsdesk.com</t>
        </is>
      </c>
    </row>
    <row r="4" ht="6" customHeight="1"/>
    <row r="6">
      <c r="B6" s="7" t="inlineStr">
        <is>
          <t>Set it up in 3 steps</t>
        </is>
      </c>
    </row>
    <row r="8" ht="22" customHeight="1">
      <c r="B8" s="8" t="n">
        <v>1</v>
      </c>
      <c r="C8" s="9" t="inlineStr">
        <is>
          <t>Setup tab</t>
        </is>
      </c>
    </row>
    <row r="9" ht="20" customHeight="1">
      <c r="C9" s="10" t="inlineStr">
        <is>
          <t>Add each tenant once: property, unit, rent, due day, deposit and lease dates. Set your reporting year.</t>
        </is>
      </c>
    </row>
    <row r="10" ht="8" customHeight="1"/>
    <row r="11" ht="22" customHeight="1">
      <c r="B11" s="8" t="n">
        <v>2</v>
      </c>
      <c r="C11" s="9" t="inlineStr">
        <is>
          <t>Rent Ledger tab</t>
        </is>
      </c>
    </row>
    <row r="12" ht="20" customHeight="1">
      <c r="C12" s="10" t="inlineStr">
        <is>
          <t>Add a line for every charge (Rent, Late fee, Utility) and every payment. Pick the tenant from the dropdown; property, unit and balance fill in.</t>
        </is>
      </c>
    </row>
    <row r="13" ht="8" customHeight="1"/>
    <row r="14" ht="22" customHeight="1">
      <c r="B14" s="8" t="n">
        <v>3</v>
      </c>
      <c r="C14" s="9" t="inlineStr">
        <is>
          <t>Dashboard and Statement</t>
        </is>
      </c>
    </row>
    <row r="15" ht="20" customHeight="1">
      <c r="C15" s="10" t="inlineStr">
        <is>
          <t>See who owes what at a glance. On Tenant Statement, pick a tenant and print or save as PDF.</t>
        </is>
      </c>
    </row>
    <row r="16" ht="8" customHeight="1"/>
    <row r="17">
      <c r="B17" s="7" t="inlineStr">
        <is>
          <t>Five rules that make a ledger hold up</t>
        </is>
      </c>
    </row>
    <row r="19" ht="32" customHeight="1">
      <c r="B19" s="11" t="inlineStr">
        <is>
          <t>✓</t>
        </is>
      </c>
      <c r="C19" s="12" t="inlineStr">
        <is>
          <t>One line per charge, one line per payment.</t>
        </is>
      </c>
      <c r="E19" s="13" t="inlineStr">
        <is>
          <t>Never overwrite a cell. Editing a number in place erases how you got there.</t>
        </is>
      </c>
    </row>
    <row r="20" ht="32" customHeight="1">
      <c r="B20" s="11" t="inlineStr">
        <is>
          <t>✓</t>
        </is>
      </c>
      <c r="C20" s="12" t="inlineStr">
        <is>
          <t>Charge first, then record payments against it.</t>
        </is>
      </c>
      <c r="E20" s="13" t="inlineStr">
        <is>
          <t>The balance is always charges minus payments. No paid/unpaid checkboxes.</t>
        </is>
      </c>
    </row>
    <row r="21" ht="32" customHeight="1">
      <c r="B21" s="11" t="inlineStr">
        <is>
          <t>✓</t>
        </is>
      </c>
      <c r="C21" s="12" t="inlineStr">
        <is>
          <t>Fix mistakes with a new line.</t>
        </is>
      </c>
      <c r="E21" s="13" t="inlineStr">
        <is>
          <t>Use Adjustment or Void instead of deleting, so the history always adds up.</t>
        </is>
      </c>
    </row>
    <row r="22" ht="32" customHeight="1">
      <c r="B22" s="11" t="inlineStr">
        <is>
          <t>✓</t>
        </is>
      </c>
      <c r="C22" s="12" t="inlineStr">
        <is>
          <t>Write down the method and reference.</t>
        </is>
      </c>
      <c r="E22" s="13" t="inlineStr">
        <is>
          <t>Zelle confirmation, check number, receipt number. That is what ends disputes.</t>
        </is>
      </c>
    </row>
    <row r="23" ht="32" customHeight="1">
      <c r="B23" s="11" t="inlineStr">
        <is>
          <t>✓</t>
        </is>
      </c>
      <c r="C23" s="12" t="inlineStr">
        <is>
          <t>Keep security deposits separate.</t>
        </is>
      </c>
      <c r="E23" s="13" t="inlineStr">
        <is>
          <t>Deposit money lives on the Deposits tab, never in rent.</t>
        </is>
      </c>
    </row>
    <row r="25">
      <c r="B25" s="7" t="inlineStr">
        <is>
          <t>Where each amount goes</t>
        </is>
      </c>
    </row>
    <row r="27" ht="26" customHeight="1">
      <c r="C27" s="14" t="inlineStr">
        <is>
          <t>Entry type</t>
        </is>
      </c>
      <c r="D27" s="14" t="inlineStr">
        <is>
          <t>Column</t>
        </is>
      </c>
      <c r="E27" s="14" t="inlineStr">
        <is>
          <t>What it does</t>
        </is>
      </c>
      <c r="F27" s="15" t="n"/>
      <c r="G27" s="15" t="n"/>
      <c r="H27" s="15" t="n"/>
      <c r="I27" s="15" t="n"/>
      <c r="J27" s="16" t="n"/>
    </row>
    <row r="28">
      <c r="C28" s="17" t="inlineStr">
        <is>
          <t>Rent, Late fee, Utility, Other charge</t>
        </is>
      </c>
      <c r="D28" s="18" t="inlineStr">
        <is>
          <t>Charge</t>
        </is>
      </c>
      <c r="E28" s="19" t="inlineStr">
        <is>
          <t>Adds to what the tenant owes</t>
        </is>
      </c>
      <c r="F28" s="20" t="n"/>
      <c r="G28" s="20" t="n"/>
      <c r="H28" s="20" t="n"/>
      <c r="I28" s="20" t="n"/>
      <c r="J28" s="20" t="n"/>
    </row>
    <row r="29">
      <c r="C29" s="17" t="inlineStr">
        <is>
          <t>Payment</t>
        </is>
      </c>
      <c r="D29" s="18" t="inlineStr">
        <is>
          <t>Payment</t>
        </is>
      </c>
      <c r="E29" s="19" t="inlineStr">
        <is>
          <t>Money received. Counts as collected</t>
        </is>
      </c>
      <c r="F29" s="20" t="n"/>
      <c r="G29" s="20" t="n"/>
      <c r="H29" s="20" t="n"/>
      <c r="I29" s="20" t="n"/>
      <c r="J29" s="20" t="n"/>
    </row>
    <row r="30">
      <c r="C30" s="17" t="inlineStr">
        <is>
          <t>Adjustment</t>
        </is>
      </c>
      <c r="D30" s="18" t="inlineStr">
        <is>
          <t>Payment</t>
        </is>
      </c>
      <c r="E30" s="19" t="inlineStr">
        <is>
          <t>A credit you give (for example, a repair the tenant paid for)</t>
        </is>
      </c>
      <c r="F30" s="20" t="n"/>
      <c r="G30" s="20" t="n"/>
      <c r="H30" s="20" t="n"/>
      <c r="I30" s="20" t="n"/>
      <c r="J30" s="20" t="n"/>
    </row>
    <row r="31">
      <c r="C31" s="17" t="inlineStr">
        <is>
          <t>Void</t>
        </is>
      </c>
      <c r="D31" s="18" t="inlineStr">
        <is>
          <t>Payment</t>
        </is>
      </c>
      <c r="E31" s="19" t="inlineStr">
        <is>
          <t>Cancels a charge entered by mistake, without deleting it</t>
        </is>
      </c>
      <c r="F31" s="20" t="n"/>
      <c r="G31" s="20" t="n"/>
      <c r="H31" s="20" t="n"/>
      <c r="I31" s="20" t="n"/>
      <c r="J31" s="20" t="n"/>
    </row>
    <row r="32">
      <c r="C32" s="17" t="inlineStr">
        <is>
          <t>Refund</t>
        </is>
      </c>
      <c r="D32" s="18" t="inlineStr">
        <is>
          <t>Charge</t>
        </is>
      </c>
      <c r="E32" s="19" t="inlineStr">
        <is>
          <t>Money you sent back to the tenant</t>
        </is>
      </c>
      <c r="F32" s="20" t="n"/>
      <c r="G32" s="20" t="n"/>
      <c r="H32" s="20" t="n"/>
      <c r="I32" s="20" t="n"/>
      <c r="J32" s="20" t="n"/>
    </row>
    <row r="34" ht="26" customHeight="1">
      <c r="B34" s="2" t="n"/>
      <c r="C34" s="21" t="inlineStr">
        <is>
          <t>Want this ledger to keep itself?</t>
        </is>
      </c>
      <c r="D34" s="2" t="n"/>
      <c r="E34" s="2" t="n"/>
      <c r="F34" s="2" t="n"/>
      <c r="G34" s="2" t="n"/>
      <c r="H34" s="2" t="n"/>
      <c r="I34" s="2" t="n"/>
      <c r="J34" s="2" t="n"/>
    </row>
    <row r="35">
      <c r="B35" s="2" t="n"/>
      <c r="C35" s="22" t="inlineStr">
        <is>
          <t>Landlord's Desk posts rent automatically, records online payments when they clear, and keeps every correction on the record.</t>
        </is>
      </c>
      <c r="D35" s="2" t="n"/>
      <c r="E35" s="2" t="n"/>
      <c r="F35" s="2" t="n"/>
      <c r="G35" s="2" t="n"/>
      <c r="H35" s="2" t="n"/>
      <c r="I35" s="2" t="n"/>
      <c r="J35" s="2" t="n"/>
    </row>
    <row r="36" ht="22" customHeight="1">
      <c r="B36" s="2" t="n"/>
      <c r="C36" s="23" t="inlineStr">
        <is>
          <t>Join the founding waitlist at landlordsdesk.com</t>
        </is>
      </c>
      <c r="D36" s="2" t="n"/>
      <c r="E36" s="2" t="n"/>
      <c r="F36" s="2" t="n"/>
      <c r="G36" s="2" t="n"/>
      <c r="H36" s="2" t="n"/>
      <c r="I36" s="2" t="n"/>
      <c r="J36" s="2" t="n"/>
    </row>
    <row r="38">
      <c r="B38" s="24" t="inlineStr">
        <is>
          <t>Provided as-is for recordkeeping. Not legal, tax or accounting advice. Late-fee and deposit rules vary by state and city.</t>
        </is>
      </c>
    </row>
    <row r="39">
      <c r="B39" s="24" t="inlineStr">
        <is>
          <t>Works in Microsoft Excel 2019 or later, Excel for Mac, Google Sheets (File › Import) and Apple Numbers (charts may look different).</t>
        </is>
      </c>
    </row>
  </sheetData>
  <mergeCells count="19">
    <mergeCell ref="E19:J19"/>
    <mergeCell ref="E28:J28"/>
    <mergeCell ref="C15:J15"/>
    <mergeCell ref="E31:J31"/>
    <mergeCell ref="E30:J30"/>
    <mergeCell ref="C20:D20"/>
    <mergeCell ref="E27:J27"/>
    <mergeCell ref="C22:D22"/>
    <mergeCell ref="C9:J9"/>
    <mergeCell ref="C12:J12"/>
    <mergeCell ref="E32:J32"/>
    <mergeCell ref="C21:D21"/>
    <mergeCell ref="E22:J22"/>
    <mergeCell ref="C23:D23"/>
    <mergeCell ref="E21:J21"/>
    <mergeCell ref="C19:D19"/>
    <mergeCell ref="E23:J23"/>
    <mergeCell ref="E20:J20"/>
    <mergeCell ref="E29:J29"/>
  </mergeCells>
  <hyperlinks>
    <hyperlink xmlns:r="http://schemas.openxmlformats.org/officeDocument/2006/relationships" ref="C36" r:id="rId1"/>
  </hyperlinks>
  <printOptions horizontalCentered="1"/>
  <pageMargins left="0.4" right="0.4" top="1" bottom="1" header="0.5" footer="0.5"/>
  <pageSetup orientation="landscape" fitToHeight="1" fitToWidth="1"/>
  <headerFooter>
    <oddHeader/>
    <oddFooter>&amp;L&amp;8 Landlord's Desk · landlordsdesk.com&amp;R&amp;8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8181B"/>
    <outlinePr summaryBelow="1" summaryRight="1"/>
    <pageSetUpPr fitToPage="1"/>
  </sheetPr>
  <dimension ref="A1:K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22" customWidth="1" min="3" max="3"/>
    <col width="8" customWidth="1" min="4" max="4"/>
    <col width="13" customWidth="1" min="5" max="5"/>
    <col width="15" customWidth="1" min="6" max="6"/>
    <col width="14" customWidth="1" min="7" max="7"/>
    <col width="14" customWidth="1" min="8" max="8"/>
    <col width="15" customWidth="1" min="9" max="9"/>
    <col width="16" customWidth="1" min="10" max="10"/>
    <col width="2" customWidth="1" min="11" max="11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4" customHeight="1">
      <c r="A2" s="2" t="n"/>
      <c r="B2" s="3" t="inlineStr">
        <is>
          <t>Rent Dashboard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4" t="inlineStr">
        <is>
          <t>Landlord's Desk</t>
        </is>
      </c>
    </row>
    <row r="3" ht="20" customHeight="1">
      <c r="A3" s="2" t="n"/>
      <c r="B3" s="5" t="inlineStr">
        <is>
          <t>Everything here fills in from the Rent Ledger. Nothing to type on this tab.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6" t="inlineStr">
        <is>
          <t>landlordsdesk.com</t>
        </is>
      </c>
    </row>
    <row r="4" ht="6" customHeight="1"/>
    <row r="5">
      <c r="B5" s="25">
        <f>"Reporting year "&amp;ReportYear&amp;"   ·   updated "&amp;TEXT(TODAY(),"mmm d, yyyy")</f>
        <v/>
      </c>
    </row>
    <row r="6" ht="10" customHeight="1"/>
    <row r="7" ht="5" customHeight="1">
      <c r="B7" s="1" t="n"/>
      <c r="C7" s="1" t="n"/>
      <c r="D7" s="1" t="n"/>
      <c r="E7" s="1" t="n"/>
      <c r="F7" s="1" t="n"/>
      <c r="G7" s="1" t="n"/>
      <c r="H7" s="1" t="n"/>
      <c r="I7" s="1" t="n"/>
      <c r="J7" s="1" t="n"/>
    </row>
    <row r="8" ht="20" customHeight="1">
      <c r="B8" s="26" t="inlineStr">
        <is>
          <t>Rent charged this year</t>
        </is>
      </c>
      <c r="D8" s="26" t="inlineStr">
        <is>
          <t>Collected this year</t>
        </is>
      </c>
      <c r="G8" s="26" t="inlineStr">
        <is>
          <t>Collection rate</t>
        </is>
      </c>
      <c r="I8" s="27" t="inlineStr">
        <is>
          <t>Owed to you now</t>
        </is>
      </c>
      <c r="J8" s="28" t="n"/>
    </row>
    <row r="9" ht="36" customHeight="1">
      <c r="B9" s="29">
        <f>SUMIFS(LCharge,LDate,"&gt;="&amp;DATE(ReportYear,1,1),LDate,"&lt;="&amp;DATE(ReportYear,12,31))-SUMIFS(LCharge,LType,"Refund",LDate,"&gt;="&amp;DATE(ReportYear,1,1),LDate,"&lt;="&amp;DATE(ReportYear,12,31))-SUMIFS(LPayment,LType,"Adjustment",LDate,"&gt;="&amp;DATE(ReportYear,1,1),LDate,"&lt;="&amp;DATE(ReportYear,12,31))-SUMIFS(LPayment,LType,"Void",LDate,"&gt;="&amp;DATE(ReportYear,1,1),LDate,"&lt;="&amp;DATE(ReportYear,12,31))</f>
        <v/>
      </c>
      <c r="D9" s="29">
        <f>SUMIFS(LPayment,LType,"Payment",LDate,"&gt;="&amp;DATE(ReportYear,1,1),LDate,"&lt;="&amp;DATE(ReportYear,12,31))-SUMIFS(LCharge,LType,"Refund",LDate,"&gt;="&amp;DATE(ReportYear,1,1),LDate,"&lt;="&amp;DATE(ReportYear,12,31))</f>
        <v/>
      </c>
      <c r="G9" s="30">
        <f>IFERROR(D9/B9,0)</f>
        <v/>
      </c>
      <c r="I9" s="31">
        <f>SUM(LCharge)-SUM(LPayment)</f>
        <v/>
      </c>
      <c r="J9" s="28" t="n"/>
    </row>
    <row r="10" ht="18" customHeight="1">
      <c r="B10" s="32" t="inlineStr">
        <is>
          <t>after credits and voids</t>
        </is>
      </c>
      <c r="C10" s="33" t="n"/>
      <c r="D10" s="32" t="inlineStr">
        <is>
          <t>payments received, less refunds</t>
        </is>
      </c>
      <c r="E10" s="33" t="n"/>
      <c r="F10" s="33" t="n"/>
      <c r="G10" s="32" t="inlineStr">
        <is>
          <t>collected ÷ charged</t>
        </is>
      </c>
      <c r="H10" s="33" t="n"/>
      <c r="I10" s="34" t="inlineStr">
        <is>
          <t>all tenants, all time</t>
        </is>
      </c>
      <c r="J10" s="35" t="n"/>
    </row>
    <row r="12">
      <c r="B12" s="36" t="inlineStr">
        <is>
          <t>Charged vs collected, by month</t>
        </is>
      </c>
    </row>
    <row r="29">
      <c r="B29" s="36" t="inlineStr">
        <is>
          <t>Tenants at a glance</t>
        </is>
      </c>
    </row>
    <row r="30" ht="26" customHeight="1">
      <c r="B30" s="14" t="inlineStr">
        <is>
          <t>Tenant</t>
        </is>
      </c>
      <c r="C30" s="14" t="inlineStr">
        <is>
          <t>Property</t>
        </is>
      </c>
      <c r="D30" s="14" t="inlineStr">
        <is>
          <t>Unit</t>
        </is>
      </c>
      <c r="E30" s="14" t="inlineStr">
        <is>
          <t>Monthly rent</t>
        </is>
      </c>
      <c r="F30" s="14" t="inlineStr">
        <is>
          <t>Charged (all time)</t>
        </is>
      </c>
      <c r="G30" s="14" t="inlineStr">
        <is>
          <t>Paid (all time)</t>
        </is>
      </c>
      <c r="H30" s="14" t="inlineStr">
        <is>
          <t>Balance</t>
        </is>
      </c>
      <c r="I30" s="14" t="inlineStr">
        <is>
          <t>Last payment</t>
        </is>
      </c>
      <c r="J30" s="14" t="inlineStr">
        <is>
          <t>Status</t>
        </is>
      </c>
    </row>
    <row r="31">
      <c r="B31" s="17">
        <f>IF(Setup!B9="","",Setup!B9)</f>
        <v/>
      </c>
      <c r="C31" s="18">
        <f>IF(B31="","",Setup!C9)</f>
        <v/>
      </c>
      <c r="D31" s="18">
        <f>IF(B31="","",Setup!D9)</f>
        <v/>
      </c>
      <c r="E31" s="37">
        <f>IF(B31="","",Setup!E9)</f>
        <v/>
      </c>
      <c r="F31" s="37">
        <f>IF(B31="","",SUMIFS(LCharge,LTenant,B31))</f>
        <v/>
      </c>
      <c r="G31" s="37">
        <f>IF(B31="","",SUMIFS(LPayment,LTenant,B31))</f>
        <v/>
      </c>
      <c r="H31" s="38">
        <f>IF(B31="","",F31-G31)</f>
        <v/>
      </c>
      <c r="I31" s="39">
        <f>IF(B31="","",IF(COUNTIFS(LTenant,B31,LType,"Payment")=0,"None yet",_xlfn.MAXIFS(LDate,LTenant,B31,LType,"Payment")))</f>
        <v/>
      </c>
      <c r="J31" s="18">
        <f>IF(B31="","",IF(H31&lt;0,"Credit on account",IF(H31=0,"Paid up",IF(H31&lt;E31,"Partial balance","Balance due"))))</f>
        <v/>
      </c>
    </row>
    <row r="32">
      <c r="B32" s="17">
        <f>IF(Setup!B10="","",Setup!B10)</f>
        <v/>
      </c>
      <c r="C32" s="18">
        <f>IF(B32="","",Setup!C10)</f>
        <v/>
      </c>
      <c r="D32" s="18">
        <f>IF(B32="","",Setup!D10)</f>
        <v/>
      </c>
      <c r="E32" s="37">
        <f>IF(B32="","",Setup!E10)</f>
        <v/>
      </c>
      <c r="F32" s="37">
        <f>IF(B32="","",SUMIFS(LCharge,LTenant,B32))</f>
        <v/>
      </c>
      <c r="G32" s="37">
        <f>IF(B32="","",SUMIFS(LPayment,LTenant,B32))</f>
        <v/>
      </c>
      <c r="H32" s="38">
        <f>IF(B32="","",F32-G32)</f>
        <v/>
      </c>
      <c r="I32" s="39">
        <f>IF(B32="","",IF(COUNTIFS(LTenant,B32,LType,"Payment")=0,"None yet",_xlfn.MAXIFS(LDate,LTenant,B32,LType,"Payment")))</f>
        <v/>
      </c>
      <c r="J32" s="18">
        <f>IF(B32="","",IF(H32&lt;0,"Credit on account",IF(H32=0,"Paid up",IF(H32&lt;E32,"Partial balance","Balance due"))))</f>
        <v/>
      </c>
    </row>
    <row r="33">
      <c r="B33" s="17">
        <f>IF(Setup!B11="","",Setup!B11)</f>
        <v/>
      </c>
      <c r="C33" s="18">
        <f>IF(B33="","",Setup!C11)</f>
        <v/>
      </c>
      <c r="D33" s="18">
        <f>IF(B33="","",Setup!D11)</f>
        <v/>
      </c>
      <c r="E33" s="37">
        <f>IF(B33="","",Setup!E11)</f>
        <v/>
      </c>
      <c r="F33" s="37">
        <f>IF(B33="","",SUMIFS(LCharge,LTenant,B33))</f>
        <v/>
      </c>
      <c r="G33" s="37">
        <f>IF(B33="","",SUMIFS(LPayment,LTenant,B33))</f>
        <v/>
      </c>
      <c r="H33" s="38">
        <f>IF(B33="","",F33-G33)</f>
        <v/>
      </c>
      <c r="I33" s="39">
        <f>IF(B33="","",IF(COUNTIFS(LTenant,B33,LType,"Payment")=0,"None yet",_xlfn.MAXIFS(LDate,LTenant,B33,LType,"Payment")))</f>
        <v/>
      </c>
      <c r="J33" s="18">
        <f>IF(B33="","",IF(H33&lt;0,"Credit on account",IF(H33=0,"Paid up",IF(H33&lt;E33,"Partial balance","Balance due"))))</f>
        <v/>
      </c>
    </row>
    <row r="34">
      <c r="B34" s="17">
        <f>IF(Setup!B12="","",Setup!B12)</f>
        <v/>
      </c>
      <c r="C34" s="18">
        <f>IF(B34="","",Setup!C12)</f>
        <v/>
      </c>
      <c r="D34" s="18">
        <f>IF(B34="","",Setup!D12)</f>
        <v/>
      </c>
      <c r="E34" s="37">
        <f>IF(B34="","",Setup!E12)</f>
        <v/>
      </c>
      <c r="F34" s="37">
        <f>IF(B34="","",SUMIFS(LCharge,LTenant,B34))</f>
        <v/>
      </c>
      <c r="G34" s="37">
        <f>IF(B34="","",SUMIFS(LPayment,LTenant,B34))</f>
        <v/>
      </c>
      <c r="H34" s="38">
        <f>IF(B34="","",F34-G34)</f>
        <v/>
      </c>
      <c r="I34" s="39">
        <f>IF(B34="","",IF(COUNTIFS(LTenant,B34,LType,"Payment")=0,"None yet",_xlfn.MAXIFS(LDate,LTenant,B34,LType,"Payment")))</f>
        <v/>
      </c>
      <c r="J34" s="18">
        <f>IF(B34="","",IF(H34&lt;0,"Credit on account",IF(H34=0,"Paid up",IF(H34&lt;E34,"Partial balance","Balance due"))))</f>
        <v/>
      </c>
    </row>
    <row r="35">
      <c r="B35" s="17">
        <f>IF(Setup!B13="","",Setup!B13)</f>
        <v/>
      </c>
      <c r="C35" s="18">
        <f>IF(B35="","",Setup!C13)</f>
        <v/>
      </c>
      <c r="D35" s="18">
        <f>IF(B35="","",Setup!D13)</f>
        <v/>
      </c>
      <c r="E35" s="37">
        <f>IF(B35="","",Setup!E13)</f>
        <v/>
      </c>
      <c r="F35" s="37">
        <f>IF(B35="","",SUMIFS(LCharge,LTenant,B35))</f>
        <v/>
      </c>
      <c r="G35" s="37">
        <f>IF(B35="","",SUMIFS(LPayment,LTenant,B35))</f>
        <v/>
      </c>
      <c r="H35" s="38">
        <f>IF(B35="","",F35-G35)</f>
        <v/>
      </c>
      <c r="I35" s="39">
        <f>IF(B35="","",IF(COUNTIFS(LTenant,B35,LType,"Payment")=0,"None yet",_xlfn.MAXIFS(LDate,LTenant,B35,LType,"Payment")))</f>
        <v/>
      </c>
      <c r="J35" s="18">
        <f>IF(B35="","",IF(H35&lt;0,"Credit on account",IF(H35=0,"Paid up",IF(H35&lt;E35,"Partial balance","Balance due"))))</f>
        <v/>
      </c>
    </row>
    <row r="36">
      <c r="B36" s="17">
        <f>IF(Setup!B14="","",Setup!B14)</f>
        <v/>
      </c>
      <c r="C36" s="18">
        <f>IF(B36="","",Setup!C14)</f>
        <v/>
      </c>
      <c r="D36" s="18">
        <f>IF(B36="","",Setup!D14)</f>
        <v/>
      </c>
      <c r="E36" s="37">
        <f>IF(B36="","",Setup!E14)</f>
        <v/>
      </c>
      <c r="F36" s="37">
        <f>IF(B36="","",SUMIFS(LCharge,LTenant,B36))</f>
        <v/>
      </c>
      <c r="G36" s="37">
        <f>IF(B36="","",SUMIFS(LPayment,LTenant,B36))</f>
        <v/>
      </c>
      <c r="H36" s="38">
        <f>IF(B36="","",F36-G36)</f>
        <v/>
      </c>
      <c r="I36" s="39">
        <f>IF(B36="","",IF(COUNTIFS(LTenant,B36,LType,"Payment")=0,"None yet",_xlfn.MAXIFS(LDate,LTenant,B36,LType,"Payment")))</f>
        <v/>
      </c>
      <c r="J36" s="18">
        <f>IF(B36="","",IF(H36&lt;0,"Credit on account",IF(H36=0,"Paid up",IF(H36&lt;E36,"Partial balance","Balance due"))))</f>
        <v/>
      </c>
    </row>
    <row r="37">
      <c r="B37" s="17">
        <f>IF(Setup!B15="","",Setup!B15)</f>
        <v/>
      </c>
      <c r="C37" s="18">
        <f>IF(B37="","",Setup!C15)</f>
        <v/>
      </c>
      <c r="D37" s="18">
        <f>IF(B37="","",Setup!D15)</f>
        <v/>
      </c>
      <c r="E37" s="37">
        <f>IF(B37="","",Setup!E15)</f>
        <v/>
      </c>
      <c r="F37" s="37">
        <f>IF(B37="","",SUMIFS(LCharge,LTenant,B37))</f>
        <v/>
      </c>
      <c r="G37" s="37">
        <f>IF(B37="","",SUMIFS(LPayment,LTenant,B37))</f>
        <v/>
      </c>
      <c r="H37" s="38">
        <f>IF(B37="","",F37-G37)</f>
        <v/>
      </c>
      <c r="I37" s="39">
        <f>IF(B37="","",IF(COUNTIFS(LTenant,B37,LType,"Payment")=0,"None yet",_xlfn.MAXIFS(LDate,LTenant,B37,LType,"Payment")))</f>
        <v/>
      </c>
      <c r="J37" s="18">
        <f>IF(B37="","",IF(H37&lt;0,"Credit on account",IF(H37=0,"Paid up",IF(H37&lt;E37,"Partial balance","Balance due"))))</f>
        <v/>
      </c>
    </row>
    <row r="38">
      <c r="B38" s="17">
        <f>IF(Setup!B16="","",Setup!B16)</f>
        <v/>
      </c>
      <c r="C38" s="18">
        <f>IF(B38="","",Setup!C16)</f>
        <v/>
      </c>
      <c r="D38" s="18">
        <f>IF(B38="","",Setup!D16)</f>
        <v/>
      </c>
      <c r="E38" s="37">
        <f>IF(B38="","",Setup!E16)</f>
        <v/>
      </c>
      <c r="F38" s="37">
        <f>IF(B38="","",SUMIFS(LCharge,LTenant,B38))</f>
        <v/>
      </c>
      <c r="G38" s="37">
        <f>IF(B38="","",SUMIFS(LPayment,LTenant,B38))</f>
        <v/>
      </c>
      <c r="H38" s="38">
        <f>IF(B38="","",F38-G38)</f>
        <v/>
      </c>
      <c r="I38" s="39">
        <f>IF(B38="","",IF(COUNTIFS(LTenant,B38,LType,"Payment")=0,"None yet",_xlfn.MAXIFS(LDate,LTenant,B38,LType,"Payment")))</f>
        <v/>
      </c>
      <c r="J38" s="18">
        <f>IF(B38="","",IF(H38&lt;0,"Credit on account",IF(H38=0,"Paid up",IF(H38&lt;E38,"Partial balance","Balance due"))))</f>
        <v/>
      </c>
    </row>
    <row r="39">
      <c r="B39" s="17">
        <f>IF(Setup!B17="","",Setup!B17)</f>
        <v/>
      </c>
      <c r="C39" s="18">
        <f>IF(B39="","",Setup!C17)</f>
        <v/>
      </c>
      <c r="D39" s="18">
        <f>IF(B39="","",Setup!D17)</f>
        <v/>
      </c>
      <c r="E39" s="37">
        <f>IF(B39="","",Setup!E17)</f>
        <v/>
      </c>
      <c r="F39" s="37">
        <f>IF(B39="","",SUMIFS(LCharge,LTenant,B39))</f>
        <v/>
      </c>
      <c r="G39" s="37">
        <f>IF(B39="","",SUMIFS(LPayment,LTenant,B39))</f>
        <v/>
      </c>
      <c r="H39" s="38">
        <f>IF(B39="","",F39-G39)</f>
        <v/>
      </c>
      <c r="I39" s="39">
        <f>IF(B39="","",IF(COUNTIFS(LTenant,B39,LType,"Payment")=0,"None yet",_xlfn.MAXIFS(LDate,LTenant,B39,LType,"Payment")))</f>
        <v/>
      </c>
      <c r="J39" s="18">
        <f>IF(B39="","",IF(H39&lt;0,"Credit on account",IF(H39=0,"Paid up",IF(H39&lt;E39,"Partial balance","Balance due"))))</f>
        <v/>
      </c>
    </row>
    <row r="40">
      <c r="B40" s="17">
        <f>IF(Setup!B18="","",Setup!B18)</f>
        <v/>
      </c>
      <c r="C40" s="18">
        <f>IF(B40="","",Setup!C18)</f>
        <v/>
      </c>
      <c r="D40" s="18">
        <f>IF(B40="","",Setup!D18)</f>
        <v/>
      </c>
      <c r="E40" s="37">
        <f>IF(B40="","",Setup!E18)</f>
        <v/>
      </c>
      <c r="F40" s="37">
        <f>IF(B40="","",SUMIFS(LCharge,LTenant,B40))</f>
        <v/>
      </c>
      <c r="G40" s="37">
        <f>IF(B40="","",SUMIFS(LPayment,LTenant,B40))</f>
        <v/>
      </c>
      <c r="H40" s="38">
        <f>IF(B40="","",F40-G40)</f>
        <v/>
      </c>
      <c r="I40" s="39">
        <f>IF(B40="","",IF(COUNTIFS(LTenant,B40,LType,"Payment")=0,"None yet",_xlfn.MAXIFS(LDate,LTenant,B40,LType,"Payment")))</f>
        <v/>
      </c>
      <c r="J40" s="18">
        <f>IF(B40="","",IF(H40&lt;0,"Credit on account",IF(H40=0,"Paid up",IF(H40&lt;E40,"Partial balance","Balance due"))))</f>
        <v/>
      </c>
    </row>
    <row r="41">
      <c r="B41" s="17">
        <f>IF(Setup!B19="","",Setup!B19)</f>
        <v/>
      </c>
      <c r="C41" s="18">
        <f>IF(B41="","",Setup!C19)</f>
        <v/>
      </c>
      <c r="D41" s="18">
        <f>IF(B41="","",Setup!D19)</f>
        <v/>
      </c>
      <c r="E41" s="37">
        <f>IF(B41="","",Setup!E19)</f>
        <v/>
      </c>
      <c r="F41" s="37">
        <f>IF(B41="","",SUMIFS(LCharge,LTenant,B41))</f>
        <v/>
      </c>
      <c r="G41" s="37">
        <f>IF(B41="","",SUMIFS(LPayment,LTenant,B41))</f>
        <v/>
      </c>
      <c r="H41" s="38">
        <f>IF(B41="","",F41-G41)</f>
        <v/>
      </c>
      <c r="I41" s="39">
        <f>IF(B41="","",IF(COUNTIFS(LTenant,B41,LType,"Payment")=0,"None yet",_xlfn.MAXIFS(LDate,LTenant,B41,LType,"Payment")))</f>
        <v/>
      </c>
      <c r="J41" s="18">
        <f>IF(B41="","",IF(H41&lt;0,"Credit on account",IF(H41=0,"Paid up",IF(H41&lt;E41,"Partial balance","Balance due"))))</f>
        <v/>
      </c>
    </row>
    <row r="42">
      <c r="B42" s="17">
        <f>IF(Setup!B20="","",Setup!B20)</f>
        <v/>
      </c>
      <c r="C42" s="18">
        <f>IF(B42="","",Setup!C20)</f>
        <v/>
      </c>
      <c r="D42" s="18">
        <f>IF(B42="","",Setup!D20)</f>
        <v/>
      </c>
      <c r="E42" s="37">
        <f>IF(B42="","",Setup!E20)</f>
        <v/>
      </c>
      <c r="F42" s="37">
        <f>IF(B42="","",SUMIFS(LCharge,LTenant,B42))</f>
        <v/>
      </c>
      <c r="G42" s="37">
        <f>IF(B42="","",SUMIFS(LPayment,LTenant,B42))</f>
        <v/>
      </c>
      <c r="H42" s="38">
        <f>IF(B42="","",F42-G42)</f>
        <v/>
      </c>
      <c r="I42" s="39">
        <f>IF(B42="","",IF(COUNTIFS(LTenant,B42,LType,"Payment")=0,"None yet",_xlfn.MAXIFS(LDate,LTenant,B42,LType,"Payment")))</f>
        <v/>
      </c>
      <c r="J42" s="18">
        <f>IF(B42="","",IF(H42&lt;0,"Credit on account",IF(H42=0,"Paid up",IF(H42&lt;E42,"Partial balance","Balance due"))))</f>
        <v/>
      </c>
    </row>
    <row r="43">
      <c r="B43" s="17">
        <f>IF(Setup!B21="","",Setup!B21)</f>
        <v/>
      </c>
      <c r="C43" s="18">
        <f>IF(B43="","",Setup!C21)</f>
        <v/>
      </c>
      <c r="D43" s="18">
        <f>IF(B43="","",Setup!D21)</f>
        <v/>
      </c>
      <c r="E43" s="37">
        <f>IF(B43="","",Setup!E21)</f>
        <v/>
      </c>
      <c r="F43" s="37">
        <f>IF(B43="","",SUMIFS(LCharge,LTenant,B43))</f>
        <v/>
      </c>
      <c r="G43" s="37">
        <f>IF(B43="","",SUMIFS(LPayment,LTenant,B43))</f>
        <v/>
      </c>
      <c r="H43" s="38">
        <f>IF(B43="","",F43-G43)</f>
        <v/>
      </c>
      <c r="I43" s="39">
        <f>IF(B43="","",IF(COUNTIFS(LTenant,B43,LType,"Payment")=0,"None yet",_xlfn.MAXIFS(LDate,LTenant,B43,LType,"Payment")))</f>
        <v/>
      </c>
      <c r="J43" s="18">
        <f>IF(B43="","",IF(H43&lt;0,"Credit on account",IF(H43=0,"Paid up",IF(H43&lt;E43,"Partial balance","Balance due"))))</f>
        <v/>
      </c>
    </row>
    <row r="44">
      <c r="B44" s="17">
        <f>IF(Setup!B22="","",Setup!B22)</f>
        <v/>
      </c>
      <c r="C44" s="18">
        <f>IF(B44="","",Setup!C22)</f>
        <v/>
      </c>
      <c r="D44" s="18">
        <f>IF(B44="","",Setup!D22)</f>
        <v/>
      </c>
      <c r="E44" s="37">
        <f>IF(B44="","",Setup!E22)</f>
        <v/>
      </c>
      <c r="F44" s="37">
        <f>IF(B44="","",SUMIFS(LCharge,LTenant,B44))</f>
        <v/>
      </c>
      <c r="G44" s="37">
        <f>IF(B44="","",SUMIFS(LPayment,LTenant,B44))</f>
        <v/>
      </c>
      <c r="H44" s="38">
        <f>IF(B44="","",F44-G44)</f>
        <v/>
      </c>
      <c r="I44" s="39">
        <f>IF(B44="","",IF(COUNTIFS(LTenant,B44,LType,"Payment")=0,"None yet",_xlfn.MAXIFS(LDate,LTenant,B44,LType,"Payment")))</f>
        <v/>
      </c>
      <c r="J44" s="18">
        <f>IF(B44="","",IF(H44&lt;0,"Credit on account",IF(H44=0,"Paid up",IF(H44&lt;E44,"Partial balance","Balance due"))))</f>
        <v/>
      </c>
    </row>
    <row r="45">
      <c r="B45" s="17">
        <f>IF(Setup!B23="","",Setup!B23)</f>
        <v/>
      </c>
      <c r="C45" s="18">
        <f>IF(B45="","",Setup!C23)</f>
        <v/>
      </c>
      <c r="D45" s="18">
        <f>IF(B45="","",Setup!D23)</f>
        <v/>
      </c>
      <c r="E45" s="37">
        <f>IF(B45="","",Setup!E23)</f>
        <v/>
      </c>
      <c r="F45" s="37">
        <f>IF(B45="","",SUMIFS(LCharge,LTenant,B45))</f>
        <v/>
      </c>
      <c r="G45" s="37">
        <f>IF(B45="","",SUMIFS(LPayment,LTenant,B45))</f>
        <v/>
      </c>
      <c r="H45" s="38">
        <f>IF(B45="","",F45-G45)</f>
        <v/>
      </c>
      <c r="I45" s="39">
        <f>IF(B45="","",IF(COUNTIFS(LTenant,B45,LType,"Payment")=0,"None yet",_xlfn.MAXIFS(LDate,LTenant,B45,LType,"Payment")))</f>
        <v/>
      </c>
      <c r="J45" s="18">
        <f>IF(B45="","",IF(H45&lt;0,"Credit on account",IF(H45=0,"Paid up",IF(H45&lt;E45,"Partial balance","Balance due"))))</f>
        <v/>
      </c>
    </row>
    <row r="46">
      <c r="B46" s="17">
        <f>IF(Setup!B24="","",Setup!B24)</f>
        <v/>
      </c>
      <c r="C46" s="18">
        <f>IF(B46="","",Setup!C24)</f>
        <v/>
      </c>
      <c r="D46" s="18">
        <f>IF(B46="","",Setup!D24)</f>
        <v/>
      </c>
      <c r="E46" s="37">
        <f>IF(B46="","",Setup!E24)</f>
        <v/>
      </c>
      <c r="F46" s="37">
        <f>IF(B46="","",SUMIFS(LCharge,LTenant,B46))</f>
        <v/>
      </c>
      <c r="G46" s="37">
        <f>IF(B46="","",SUMIFS(LPayment,LTenant,B46))</f>
        <v/>
      </c>
      <c r="H46" s="38">
        <f>IF(B46="","",F46-G46)</f>
        <v/>
      </c>
      <c r="I46" s="39">
        <f>IF(B46="","",IF(COUNTIFS(LTenant,B46,LType,"Payment")=0,"None yet",_xlfn.MAXIFS(LDate,LTenant,B46,LType,"Payment")))</f>
        <v/>
      </c>
      <c r="J46" s="18">
        <f>IF(B46="","",IF(H46&lt;0,"Credit on account",IF(H46=0,"Paid up",IF(H46&lt;E46,"Partial balance","Balance due"))))</f>
        <v/>
      </c>
    </row>
    <row r="47">
      <c r="B47" s="17">
        <f>IF(Setup!B25="","",Setup!B25)</f>
        <v/>
      </c>
      <c r="C47" s="18">
        <f>IF(B47="","",Setup!C25)</f>
        <v/>
      </c>
      <c r="D47" s="18">
        <f>IF(B47="","",Setup!D25)</f>
        <v/>
      </c>
      <c r="E47" s="37">
        <f>IF(B47="","",Setup!E25)</f>
        <v/>
      </c>
      <c r="F47" s="37">
        <f>IF(B47="","",SUMIFS(LCharge,LTenant,B47))</f>
        <v/>
      </c>
      <c r="G47" s="37">
        <f>IF(B47="","",SUMIFS(LPayment,LTenant,B47))</f>
        <v/>
      </c>
      <c r="H47" s="38">
        <f>IF(B47="","",F47-G47)</f>
        <v/>
      </c>
      <c r="I47" s="39">
        <f>IF(B47="","",IF(COUNTIFS(LTenant,B47,LType,"Payment")=0,"None yet",_xlfn.MAXIFS(LDate,LTenant,B47,LType,"Payment")))</f>
        <v/>
      </c>
      <c r="J47" s="18">
        <f>IF(B47="","",IF(H47&lt;0,"Credit on account",IF(H47=0,"Paid up",IF(H47&lt;E47,"Partial balance","Balance due"))))</f>
        <v/>
      </c>
    </row>
    <row r="48">
      <c r="B48" s="17">
        <f>IF(Setup!B26="","",Setup!B26)</f>
        <v/>
      </c>
      <c r="C48" s="18">
        <f>IF(B48="","",Setup!C26)</f>
        <v/>
      </c>
      <c r="D48" s="18">
        <f>IF(B48="","",Setup!D26)</f>
        <v/>
      </c>
      <c r="E48" s="37">
        <f>IF(B48="","",Setup!E26)</f>
        <v/>
      </c>
      <c r="F48" s="37">
        <f>IF(B48="","",SUMIFS(LCharge,LTenant,B48))</f>
        <v/>
      </c>
      <c r="G48" s="37">
        <f>IF(B48="","",SUMIFS(LPayment,LTenant,B48))</f>
        <v/>
      </c>
      <c r="H48" s="38">
        <f>IF(B48="","",F48-G48)</f>
        <v/>
      </c>
      <c r="I48" s="39">
        <f>IF(B48="","",IF(COUNTIFS(LTenant,B48,LType,"Payment")=0,"None yet",_xlfn.MAXIFS(LDate,LTenant,B48,LType,"Payment")))</f>
        <v/>
      </c>
      <c r="J48" s="18">
        <f>IF(B48="","",IF(H48&lt;0,"Credit on account",IF(H48=0,"Paid up",IF(H48&lt;E48,"Partial balance","Balance due"))))</f>
        <v/>
      </c>
    </row>
    <row r="49">
      <c r="B49" s="17">
        <f>IF(Setup!B27="","",Setup!B27)</f>
        <v/>
      </c>
      <c r="C49" s="18">
        <f>IF(B49="","",Setup!C27)</f>
        <v/>
      </c>
      <c r="D49" s="18">
        <f>IF(B49="","",Setup!D27)</f>
        <v/>
      </c>
      <c r="E49" s="37">
        <f>IF(B49="","",Setup!E27)</f>
        <v/>
      </c>
      <c r="F49" s="37">
        <f>IF(B49="","",SUMIFS(LCharge,LTenant,B49))</f>
        <v/>
      </c>
      <c r="G49" s="37">
        <f>IF(B49="","",SUMIFS(LPayment,LTenant,B49))</f>
        <v/>
      </c>
      <c r="H49" s="38">
        <f>IF(B49="","",F49-G49)</f>
        <v/>
      </c>
      <c r="I49" s="39">
        <f>IF(B49="","",IF(COUNTIFS(LTenant,B49,LType,"Payment")=0,"None yet",_xlfn.MAXIFS(LDate,LTenant,B49,LType,"Payment")))</f>
        <v/>
      </c>
      <c r="J49" s="18">
        <f>IF(B49="","",IF(H49&lt;0,"Credit on account",IF(H49=0,"Paid up",IF(H49&lt;E49,"Partial balance","Balance due"))))</f>
        <v/>
      </c>
    </row>
    <row r="50">
      <c r="B50" s="17">
        <f>IF(Setup!B28="","",Setup!B28)</f>
        <v/>
      </c>
      <c r="C50" s="18">
        <f>IF(B50="","",Setup!C28)</f>
        <v/>
      </c>
      <c r="D50" s="18">
        <f>IF(B50="","",Setup!D28)</f>
        <v/>
      </c>
      <c r="E50" s="37">
        <f>IF(B50="","",Setup!E28)</f>
        <v/>
      </c>
      <c r="F50" s="37">
        <f>IF(B50="","",SUMIFS(LCharge,LTenant,B50))</f>
        <v/>
      </c>
      <c r="G50" s="37">
        <f>IF(B50="","",SUMIFS(LPayment,LTenant,B50))</f>
        <v/>
      </c>
      <c r="H50" s="38">
        <f>IF(B50="","",F50-G50)</f>
        <v/>
      </c>
      <c r="I50" s="39">
        <f>IF(B50="","",IF(COUNTIFS(LTenant,B50,LType,"Payment")=0,"None yet",_xlfn.MAXIFS(LDate,LTenant,B50,LType,"Payment")))</f>
        <v/>
      </c>
      <c r="J50" s="18">
        <f>IF(B50="","",IF(H50&lt;0,"Credit on account",IF(H50=0,"Paid up",IF(H50&lt;E50,"Partial balance","Balance due"))))</f>
        <v/>
      </c>
    </row>
    <row r="51">
      <c r="B51" s="17">
        <f>IF(Setup!B29="","",Setup!B29)</f>
        <v/>
      </c>
      <c r="C51" s="18">
        <f>IF(B51="","",Setup!C29)</f>
        <v/>
      </c>
      <c r="D51" s="18">
        <f>IF(B51="","",Setup!D29)</f>
        <v/>
      </c>
      <c r="E51" s="37">
        <f>IF(B51="","",Setup!E29)</f>
        <v/>
      </c>
      <c r="F51" s="37">
        <f>IF(B51="","",SUMIFS(LCharge,LTenant,B51))</f>
        <v/>
      </c>
      <c r="G51" s="37">
        <f>IF(B51="","",SUMIFS(LPayment,LTenant,B51))</f>
        <v/>
      </c>
      <c r="H51" s="38">
        <f>IF(B51="","",F51-G51)</f>
        <v/>
      </c>
      <c r="I51" s="39">
        <f>IF(B51="","",IF(COUNTIFS(LTenant,B51,LType,"Payment")=0,"None yet",_xlfn.MAXIFS(LDate,LTenant,B51,LType,"Payment")))</f>
        <v/>
      </c>
      <c r="J51" s="18">
        <f>IF(B51="","",IF(H51&lt;0,"Credit on account",IF(H51=0,"Paid up",IF(H51&lt;E51,"Partial balance","Balance due"))))</f>
        <v/>
      </c>
    </row>
    <row r="52">
      <c r="B52" s="17">
        <f>IF(Setup!B30="","",Setup!B30)</f>
        <v/>
      </c>
      <c r="C52" s="18">
        <f>IF(B52="","",Setup!C30)</f>
        <v/>
      </c>
      <c r="D52" s="18">
        <f>IF(B52="","",Setup!D30)</f>
        <v/>
      </c>
      <c r="E52" s="37">
        <f>IF(B52="","",Setup!E30)</f>
        <v/>
      </c>
      <c r="F52" s="37">
        <f>IF(B52="","",SUMIFS(LCharge,LTenant,B52))</f>
        <v/>
      </c>
      <c r="G52" s="37">
        <f>IF(B52="","",SUMIFS(LPayment,LTenant,B52))</f>
        <v/>
      </c>
      <c r="H52" s="38">
        <f>IF(B52="","",F52-G52)</f>
        <v/>
      </c>
      <c r="I52" s="39">
        <f>IF(B52="","",IF(COUNTIFS(LTenant,B52,LType,"Payment")=0,"None yet",_xlfn.MAXIFS(LDate,LTenant,B52,LType,"Payment")))</f>
        <v/>
      </c>
      <c r="J52" s="18">
        <f>IF(B52="","",IF(H52&lt;0,"Credit on account",IF(H52=0,"Paid up",IF(H52&lt;E52,"Partial balance","Balance due"))))</f>
        <v/>
      </c>
    </row>
    <row r="53">
      <c r="B53" s="17">
        <f>IF(Setup!B31="","",Setup!B31)</f>
        <v/>
      </c>
      <c r="C53" s="18">
        <f>IF(B53="","",Setup!C31)</f>
        <v/>
      </c>
      <c r="D53" s="18">
        <f>IF(B53="","",Setup!D31)</f>
        <v/>
      </c>
      <c r="E53" s="37">
        <f>IF(B53="","",Setup!E31)</f>
        <v/>
      </c>
      <c r="F53" s="37">
        <f>IF(B53="","",SUMIFS(LCharge,LTenant,B53))</f>
        <v/>
      </c>
      <c r="G53" s="37">
        <f>IF(B53="","",SUMIFS(LPayment,LTenant,B53))</f>
        <v/>
      </c>
      <c r="H53" s="38">
        <f>IF(B53="","",F53-G53)</f>
        <v/>
      </c>
      <c r="I53" s="39">
        <f>IF(B53="","",IF(COUNTIFS(LTenant,B53,LType,"Payment")=0,"None yet",_xlfn.MAXIFS(LDate,LTenant,B53,LType,"Payment")))</f>
        <v/>
      </c>
      <c r="J53" s="18">
        <f>IF(B53="","",IF(H53&lt;0,"Credit on account",IF(H53=0,"Paid up",IF(H53&lt;E53,"Partial balance","Balance due"))))</f>
        <v/>
      </c>
    </row>
    <row r="54">
      <c r="B54" s="17">
        <f>IF(Setup!B32="","",Setup!B32)</f>
        <v/>
      </c>
      <c r="C54" s="18">
        <f>IF(B54="","",Setup!C32)</f>
        <v/>
      </c>
      <c r="D54" s="18">
        <f>IF(B54="","",Setup!D32)</f>
        <v/>
      </c>
      <c r="E54" s="37">
        <f>IF(B54="","",Setup!E32)</f>
        <v/>
      </c>
      <c r="F54" s="37">
        <f>IF(B54="","",SUMIFS(LCharge,LTenant,B54))</f>
        <v/>
      </c>
      <c r="G54" s="37">
        <f>IF(B54="","",SUMIFS(LPayment,LTenant,B54))</f>
        <v/>
      </c>
      <c r="H54" s="38">
        <f>IF(B54="","",F54-G54)</f>
        <v/>
      </c>
      <c r="I54" s="39">
        <f>IF(B54="","",IF(COUNTIFS(LTenant,B54,LType,"Payment")=0,"None yet",_xlfn.MAXIFS(LDate,LTenant,B54,LType,"Payment")))</f>
        <v/>
      </c>
      <c r="J54" s="18">
        <f>IF(B54="","",IF(H54&lt;0,"Credit on account",IF(H54=0,"Paid up",IF(H54&lt;E54,"Partial balance","Balance due"))))</f>
        <v/>
      </c>
    </row>
    <row r="55">
      <c r="B55" s="17">
        <f>IF(Setup!B33="","",Setup!B33)</f>
        <v/>
      </c>
      <c r="C55" s="18">
        <f>IF(B55="","",Setup!C33)</f>
        <v/>
      </c>
      <c r="D55" s="18">
        <f>IF(B55="","",Setup!D33)</f>
        <v/>
      </c>
      <c r="E55" s="37">
        <f>IF(B55="","",Setup!E33)</f>
        <v/>
      </c>
      <c r="F55" s="37">
        <f>IF(B55="","",SUMIFS(LCharge,LTenant,B55))</f>
        <v/>
      </c>
      <c r="G55" s="37">
        <f>IF(B55="","",SUMIFS(LPayment,LTenant,B55))</f>
        <v/>
      </c>
      <c r="H55" s="38">
        <f>IF(B55="","",F55-G55)</f>
        <v/>
      </c>
      <c r="I55" s="39">
        <f>IF(B55="","",IF(COUNTIFS(LTenant,B55,LType,"Payment")=0,"None yet",_xlfn.MAXIFS(LDate,LTenant,B55,LType,"Payment")))</f>
        <v/>
      </c>
      <c r="J55" s="18">
        <f>IF(B55="","",IF(H55&lt;0,"Credit on account",IF(H55=0,"Paid up",IF(H55&lt;E55,"Partial balance","Balance due"))))</f>
        <v/>
      </c>
    </row>
    <row r="57">
      <c r="B57" s="24" t="inlineStr">
        <is>
          <t>Shows the first 25 tenants on Setup. Balance below zero means the tenant has a credit.</t>
        </is>
      </c>
    </row>
  </sheetData>
  <mergeCells count="12">
    <mergeCell ref="G8:H8"/>
    <mergeCell ref="G9:H9"/>
    <mergeCell ref="I10:J10"/>
    <mergeCell ref="G10:H10"/>
    <mergeCell ref="B10:C10"/>
    <mergeCell ref="D9:F9"/>
    <mergeCell ref="I8:J8"/>
    <mergeCell ref="B9:C9"/>
    <mergeCell ref="D8:F8"/>
    <mergeCell ref="B8:C8"/>
    <mergeCell ref="I9:J9"/>
    <mergeCell ref="D10:F10"/>
  </mergeCells>
  <conditionalFormatting sqref="J31:J55">
    <cfRule type="expression" priority="1" dxfId="0">
      <formula>J31="Paid up"</formula>
    </cfRule>
    <cfRule type="expression" priority="2" dxfId="1">
      <formula>J31="Partial balance"</formula>
    </cfRule>
    <cfRule type="expression" priority="3" dxfId="2">
      <formula>J31="Balance due"</formula>
    </cfRule>
    <cfRule type="expression" priority="4" dxfId="3">
      <formula>J31="Credit on account"</formula>
    </cfRule>
  </conditionalFormatting>
  <printOptions horizontalCentered="1"/>
  <pageMargins left="0.4" right="0.4" top="1" bottom="1" header="0.5" footer="0.5"/>
  <pageSetup orientation="landscape" fitToHeight="1" fitToWidth="1"/>
  <headerFooter>
    <oddHeader/>
    <oddFooter>&amp;L&amp;8 Landlord's Desk · landlordsdesk.com&amp;R&amp;8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N10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22" customWidth="1" min="3" max="3"/>
    <col width="20" customWidth="1" min="4" max="4"/>
    <col width="8" customWidth="1" min="5" max="5"/>
    <col width="13" customWidth="1" min="6" max="6"/>
    <col width="30" customWidth="1" min="7" max="7"/>
    <col width="20" customWidth="1" min="8" max="8"/>
    <col width="16" customWidth="1" min="9" max="9"/>
    <col width="13" customWidth="1" min="10" max="10"/>
    <col width="13" customWidth="1" min="11" max="11"/>
    <col width="15" customWidth="1" min="12" max="12"/>
    <col width="4" customWidth="1" min="13" max="13"/>
    <col hidden="1" width="4" customWidth="1" min="14" max="14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4" customHeight="1">
      <c r="A2" s="2" t="n"/>
      <c r="B2" s="3" t="inlineStr">
        <is>
          <t>Rent Ledger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4" t="inlineStr">
        <is>
          <t>Landlord's Desk</t>
        </is>
      </c>
    </row>
    <row r="3" ht="20" customHeight="1">
      <c r="A3" s="2" t="n"/>
      <c r="B3" s="5" t="inlineStr">
        <is>
          <t>One line per charge, one line per payment. Never overwrite a line: fix mistakes with a new one.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6" t="inlineStr">
        <is>
          <t>landlordsdesk.com</t>
        </is>
      </c>
    </row>
    <row r="4" ht="6" customHeight="1"/>
    <row r="5">
      <c r="B5" s="25" t="inlineStr">
        <is>
          <t>Charges and refunds go in Charge. Payments, credits and voids go in Payment. Balance runs per tenant.</t>
        </is>
      </c>
    </row>
    <row r="6" ht="26" customHeight="1">
      <c r="B6" s="40" t="inlineStr">
        <is>
          <t>Date</t>
        </is>
      </c>
      <c r="C6" s="40" t="inlineStr">
        <is>
          <t>Tenant</t>
        </is>
      </c>
      <c r="D6" s="14" t="inlineStr">
        <is>
          <t>Property</t>
        </is>
      </c>
      <c r="E6" s="14" t="inlineStr">
        <is>
          <t>Unit</t>
        </is>
      </c>
      <c r="F6" s="40" t="inlineStr">
        <is>
          <t>Type</t>
        </is>
      </c>
      <c r="G6" s="40" t="inlineStr">
        <is>
          <t>Description</t>
        </is>
      </c>
      <c r="H6" s="40" t="inlineStr">
        <is>
          <t>Method</t>
        </is>
      </c>
      <c r="I6" s="40" t="inlineStr">
        <is>
          <t>Reference #</t>
        </is>
      </c>
      <c r="J6" s="40" t="inlineStr">
        <is>
          <t>Charge</t>
        </is>
      </c>
      <c r="K6" s="40" t="inlineStr">
        <is>
          <t>Payment</t>
        </is>
      </c>
      <c r="L6" s="14" t="inlineStr">
        <is>
          <t>Tenant balance</t>
        </is>
      </c>
    </row>
    <row r="7">
      <c r="B7" s="41" t="n"/>
      <c r="C7" s="18" t="n"/>
      <c r="D7" s="42">
        <f>IF(C7="","",IFERROR(INDEX(TenantProperty,MATCH(C7,Tenants,0)),""))</f>
        <v/>
      </c>
      <c r="E7" s="42">
        <f>IF(C7="","",IFERROR(INDEX(TenantUnit,MATCH(C7,Tenants,0)),""))</f>
        <v/>
      </c>
      <c r="F7" s="18" t="n"/>
      <c r="G7" s="18" t="n"/>
      <c r="H7" s="18" t="n"/>
      <c r="I7" s="18" t="n"/>
      <c r="J7" s="37" t="n"/>
      <c r="K7" s="37" t="n"/>
      <c r="L7" s="43">
        <f>IF(C7="","",SUMIFS($J$7:J7,$C$7:C7,C7)-SUMIFS($K$7:K7,$C$7:C7,C7))</f>
        <v/>
      </c>
      <c r="N7">
        <f>IF(AND(C7&lt;&gt;"",C7='Tenant Statement'!$C$6),COUNTIF($C$7:C7,'Tenant Statement'!$C$6),"")</f>
        <v/>
      </c>
    </row>
    <row r="8">
      <c r="B8" s="41" t="n"/>
      <c r="C8" s="18" t="n"/>
      <c r="D8" s="42">
        <f>IF(C8="","",IFERROR(INDEX(TenantProperty,MATCH(C8,Tenants,0)),""))</f>
        <v/>
      </c>
      <c r="E8" s="42">
        <f>IF(C8="","",IFERROR(INDEX(TenantUnit,MATCH(C8,Tenants,0)),""))</f>
        <v/>
      </c>
      <c r="F8" s="18" t="n"/>
      <c r="G8" s="18" t="n"/>
      <c r="H8" s="18" t="n"/>
      <c r="I8" s="18" t="n"/>
      <c r="J8" s="37" t="n"/>
      <c r="K8" s="37" t="n"/>
      <c r="L8" s="43">
        <f>IF(C8="","",SUMIFS($J$7:J8,$C$7:C8,C8)-SUMIFS($K$7:K8,$C$7:C8,C8))</f>
        <v/>
      </c>
      <c r="N8">
        <f>IF(AND(C8&lt;&gt;"",C8='Tenant Statement'!$C$6),COUNTIF($C$7:C8,'Tenant Statement'!$C$6),"")</f>
        <v/>
      </c>
    </row>
    <row r="9">
      <c r="B9" s="41" t="n"/>
      <c r="C9" s="18" t="n"/>
      <c r="D9" s="42">
        <f>IF(C9="","",IFERROR(INDEX(TenantProperty,MATCH(C9,Tenants,0)),""))</f>
        <v/>
      </c>
      <c r="E9" s="42">
        <f>IF(C9="","",IFERROR(INDEX(TenantUnit,MATCH(C9,Tenants,0)),""))</f>
        <v/>
      </c>
      <c r="F9" s="18" t="n"/>
      <c r="G9" s="18" t="n"/>
      <c r="H9" s="18" t="n"/>
      <c r="I9" s="18" t="n"/>
      <c r="J9" s="37" t="n"/>
      <c r="K9" s="37" t="n"/>
      <c r="L9" s="43">
        <f>IF(C9="","",SUMIFS($J$7:J9,$C$7:C9,C9)-SUMIFS($K$7:K9,$C$7:C9,C9))</f>
        <v/>
      </c>
      <c r="N9">
        <f>IF(AND(C9&lt;&gt;"",C9='Tenant Statement'!$C$6),COUNTIF($C$7:C9,'Tenant Statement'!$C$6),"")</f>
        <v/>
      </c>
    </row>
    <row r="10">
      <c r="B10" s="41" t="n"/>
      <c r="C10" s="18" t="n"/>
      <c r="D10" s="42">
        <f>IF(C10="","",IFERROR(INDEX(TenantProperty,MATCH(C10,Tenants,0)),""))</f>
        <v/>
      </c>
      <c r="E10" s="42">
        <f>IF(C10="","",IFERROR(INDEX(TenantUnit,MATCH(C10,Tenants,0)),""))</f>
        <v/>
      </c>
      <c r="F10" s="18" t="n"/>
      <c r="G10" s="18" t="n"/>
      <c r="H10" s="18" t="n"/>
      <c r="I10" s="18" t="n"/>
      <c r="J10" s="37" t="n"/>
      <c r="K10" s="37" t="n"/>
      <c r="L10" s="43">
        <f>IF(C10="","",SUMIFS($J$7:J10,$C$7:C10,C10)-SUMIFS($K$7:K10,$C$7:C10,C10))</f>
        <v/>
      </c>
      <c r="N10">
        <f>IF(AND(C10&lt;&gt;"",C10='Tenant Statement'!$C$6),COUNTIF($C$7:C10,'Tenant Statement'!$C$6),"")</f>
        <v/>
      </c>
    </row>
    <row r="11">
      <c r="B11" s="41" t="n"/>
      <c r="C11" s="18" t="n"/>
      <c r="D11" s="42">
        <f>IF(C11="","",IFERROR(INDEX(TenantProperty,MATCH(C11,Tenants,0)),""))</f>
        <v/>
      </c>
      <c r="E11" s="42">
        <f>IF(C11="","",IFERROR(INDEX(TenantUnit,MATCH(C11,Tenants,0)),""))</f>
        <v/>
      </c>
      <c r="F11" s="18" t="n"/>
      <c r="G11" s="18" t="n"/>
      <c r="H11" s="18" t="n"/>
      <c r="I11" s="18" t="n"/>
      <c r="J11" s="37" t="n"/>
      <c r="K11" s="37" t="n"/>
      <c r="L11" s="43">
        <f>IF(C11="","",SUMIFS($J$7:J11,$C$7:C11,C11)-SUMIFS($K$7:K11,$C$7:C11,C11))</f>
        <v/>
      </c>
      <c r="N11">
        <f>IF(AND(C11&lt;&gt;"",C11='Tenant Statement'!$C$6),COUNTIF($C$7:C11,'Tenant Statement'!$C$6),"")</f>
        <v/>
      </c>
    </row>
    <row r="12">
      <c r="B12" s="41" t="n"/>
      <c r="C12" s="18" t="n"/>
      <c r="D12" s="42">
        <f>IF(C12="","",IFERROR(INDEX(TenantProperty,MATCH(C12,Tenants,0)),""))</f>
        <v/>
      </c>
      <c r="E12" s="42">
        <f>IF(C12="","",IFERROR(INDEX(TenantUnit,MATCH(C12,Tenants,0)),""))</f>
        <v/>
      </c>
      <c r="F12" s="18" t="n"/>
      <c r="G12" s="18" t="n"/>
      <c r="H12" s="18" t="n"/>
      <c r="I12" s="18" t="n"/>
      <c r="J12" s="37" t="n"/>
      <c r="K12" s="37" t="n"/>
      <c r="L12" s="43">
        <f>IF(C12="","",SUMIFS($J$7:J12,$C$7:C12,C12)-SUMIFS($K$7:K12,$C$7:C12,C12))</f>
        <v/>
      </c>
      <c r="N12">
        <f>IF(AND(C12&lt;&gt;"",C12='Tenant Statement'!$C$6),COUNTIF($C$7:C12,'Tenant Statement'!$C$6),"")</f>
        <v/>
      </c>
    </row>
    <row r="13">
      <c r="B13" s="41" t="n"/>
      <c r="C13" s="18" t="n"/>
      <c r="D13" s="42">
        <f>IF(C13="","",IFERROR(INDEX(TenantProperty,MATCH(C13,Tenants,0)),""))</f>
        <v/>
      </c>
      <c r="E13" s="42">
        <f>IF(C13="","",IFERROR(INDEX(TenantUnit,MATCH(C13,Tenants,0)),""))</f>
        <v/>
      </c>
      <c r="F13" s="18" t="n"/>
      <c r="G13" s="18" t="n"/>
      <c r="H13" s="18" t="n"/>
      <c r="I13" s="18" t="n"/>
      <c r="J13" s="37" t="n"/>
      <c r="K13" s="37" t="n"/>
      <c r="L13" s="43">
        <f>IF(C13="","",SUMIFS($J$7:J13,$C$7:C13,C13)-SUMIFS($K$7:K13,$C$7:C13,C13))</f>
        <v/>
      </c>
      <c r="N13">
        <f>IF(AND(C13&lt;&gt;"",C13='Tenant Statement'!$C$6),COUNTIF($C$7:C13,'Tenant Statement'!$C$6),"")</f>
        <v/>
      </c>
    </row>
    <row r="14">
      <c r="B14" s="41" t="n"/>
      <c r="C14" s="18" t="n"/>
      <c r="D14" s="42">
        <f>IF(C14="","",IFERROR(INDEX(TenantProperty,MATCH(C14,Tenants,0)),""))</f>
        <v/>
      </c>
      <c r="E14" s="42">
        <f>IF(C14="","",IFERROR(INDEX(TenantUnit,MATCH(C14,Tenants,0)),""))</f>
        <v/>
      </c>
      <c r="F14" s="18" t="n"/>
      <c r="G14" s="18" t="n"/>
      <c r="H14" s="18" t="n"/>
      <c r="I14" s="18" t="n"/>
      <c r="J14" s="37" t="n"/>
      <c r="K14" s="37" t="n"/>
      <c r="L14" s="43">
        <f>IF(C14="","",SUMIFS($J$7:J14,$C$7:C14,C14)-SUMIFS($K$7:K14,$C$7:C14,C14))</f>
        <v/>
      </c>
      <c r="N14">
        <f>IF(AND(C14&lt;&gt;"",C14='Tenant Statement'!$C$6),COUNTIF($C$7:C14,'Tenant Statement'!$C$6),"")</f>
        <v/>
      </c>
    </row>
    <row r="15">
      <c r="B15" s="41" t="n"/>
      <c r="C15" s="18" t="n"/>
      <c r="D15" s="42">
        <f>IF(C15="","",IFERROR(INDEX(TenantProperty,MATCH(C15,Tenants,0)),""))</f>
        <v/>
      </c>
      <c r="E15" s="42">
        <f>IF(C15="","",IFERROR(INDEX(TenantUnit,MATCH(C15,Tenants,0)),""))</f>
        <v/>
      </c>
      <c r="F15" s="18" t="n"/>
      <c r="G15" s="18" t="n"/>
      <c r="H15" s="18" t="n"/>
      <c r="I15" s="18" t="n"/>
      <c r="J15" s="37" t="n"/>
      <c r="K15" s="37" t="n"/>
      <c r="L15" s="43">
        <f>IF(C15="","",SUMIFS($J$7:J15,$C$7:C15,C15)-SUMIFS($K$7:K15,$C$7:C15,C15))</f>
        <v/>
      </c>
      <c r="N15">
        <f>IF(AND(C15&lt;&gt;"",C15='Tenant Statement'!$C$6),COUNTIF($C$7:C15,'Tenant Statement'!$C$6),"")</f>
        <v/>
      </c>
    </row>
    <row r="16">
      <c r="B16" s="41" t="n"/>
      <c r="C16" s="18" t="n"/>
      <c r="D16" s="42">
        <f>IF(C16="","",IFERROR(INDEX(TenantProperty,MATCH(C16,Tenants,0)),""))</f>
        <v/>
      </c>
      <c r="E16" s="42">
        <f>IF(C16="","",IFERROR(INDEX(TenantUnit,MATCH(C16,Tenants,0)),""))</f>
        <v/>
      </c>
      <c r="F16" s="18" t="n"/>
      <c r="G16" s="18" t="n"/>
      <c r="H16" s="18" t="n"/>
      <c r="I16" s="18" t="n"/>
      <c r="J16" s="37" t="n"/>
      <c r="K16" s="37" t="n"/>
      <c r="L16" s="43">
        <f>IF(C16="","",SUMIFS($J$7:J16,$C$7:C16,C16)-SUMIFS($K$7:K16,$C$7:C16,C16))</f>
        <v/>
      </c>
      <c r="N16">
        <f>IF(AND(C16&lt;&gt;"",C16='Tenant Statement'!$C$6),COUNTIF($C$7:C16,'Tenant Statement'!$C$6),"")</f>
        <v/>
      </c>
    </row>
    <row r="17">
      <c r="B17" s="41" t="n"/>
      <c r="C17" s="18" t="n"/>
      <c r="D17" s="42">
        <f>IF(C17="","",IFERROR(INDEX(TenantProperty,MATCH(C17,Tenants,0)),""))</f>
        <v/>
      </c>
      <c r="E17" s="42">
        <f>IF(C17="","",IFERROR(INDEX(TenantUnit,MATCH(C17,Tenants,0)),""))</f>
        <v/>
      </c>
      <c r="F17" s="18" t="n"/>
      <c r="G17" s="18" t="n"/>
      <c r="H17" s="18" t="n"/>
      <c r="I17" s="18" t="n"/>
      <c r="J17" s="37" t="n"/>
      <c r="K17" s="37" t="n"/>
      <c r="L17" s="43">
        <f>IF(C17="","",SUMIFS($J$7:J17,$C$7:C17,C17)-SUMIFS($K$7:K17,$C$7:C17,C17))</f>
        <v/>
      </c>
      <c r="N17">
        <f>IF(AND(C17&lt;&gt;"",C17='Tenant Statement'!$C$6),COUNTIF($C$7:C17,'Tenant Statement'!$C$6),"")</f>
        <v/>
      </c>
    </row>
    <row r="18">
      <c r="B18" s="41" t="n"/>
      <c r="C18" s="18" t="n"/>
      <c r="D18" s="42">
        <f>IF(C18="","",IFERROR(INDEX(TenantProperty,MATCH(C18,Tenants,0)),""))</f>
        <v/>
      </c>
      <c r="E18" s="42">
        <f>IF(C18="","",IFERROR(INDEX(TenantUnit,MATCH(C18,Tenants,0)),""))</f>
        <v/>
      </c>
      <c r="F18" s="18" t="n"/>
      <c r="G18" s="18" t="n"/>
      <c r="H18" s="18" t="n"/>
      <c r="I18" s="18" t="n"/>
      <c r="J18" s="37" t="n"/>
      <c r="K18" s="37" t="n"/>
      <c r="L18" s="43">
        <f>IF(C18="","",SUMIFS($J$7:J18,$C$7:C18,C18)-SUMIFS($K$7:K18,$C$7:C18,C18))</f>
        <v/>
      </c>
      <c r="N18">
        <f>IF(AND(C18&lt;&gt;"",C18='Tenant Statement'!$C$6),COUNTIF($C$7:C18,'Tenant Statement'!$C$6),"")</f>
        <v/>
      </c>
    </row>
    <row r="19">
      <c r="B19" s="41" t="n"/>
      <c r="C19" s="18" t="n"/>
      <c r="D19" s="42">
        <f>IF(C19="","",IFERROR(INDEX(TenantProperty,MATCH(C19,Tenants,0)),""))</f>
        <v/>
      </c>
      <c r="E19" s="42">
        <f>IF(C19="","",IFERROR(INDEX(TenantUnit,MATCH(C19,Tenants,0)),""))</f>
        <v/>
      </c>
      <c r="F19" s="18" t="n"/>
      <c r="G19" s="18" t="n"/>
      <c r="H19" s="18" t="n"/>
      <c r="I19" s="18" t="n"/>
      <c r="J19" s="37" t="n"/>
      <c r="K19" s="37" t="n"/>
      <c r="L19" s="43">
        <f>IF(C19="","",SUMIFS($J$7:J19,$C$7:C19,C19)-SUMIFS($K$7:K19,$C$7:C19,C19))</f>
        <v/>
      </c>
      <c r="N19">
        <f>IF(AND(C19&lt;&gt;"",C19='Tenant Statement'!$C$6),COUNTIF($C$7:C19,'Tenant Statement'!$C$6),"")</f>
        <v/>
      </c>
    </row>
    <row r="20">
      <c r="B20" s="41" t="n"/>
      <c r="C20" s="18" t="n"/>
      <c r="D20" s="42">
        <f>IF(C20="","",IFERROR(INDEX(TenantProperty,MATCH(C20,Tenants,0)),""))</f>
        <v/>
      </c>
      <c r="E20" s="42">
        <f>IF(C20="","",IFERROR(INDEX(TenantUnit,MATCH(C20,Tenants,0)),""))</f>
        <v/>
      </c>
      <c r="F20" s="18" t="n"/>
      <c r="G20" s="18" t="n"/>
      <c r="H20" s="18" t="n"/>
      <c r="I20" s="18" t="n"/>
      <c r="J20" s="37" t="n"/>
      <c r="K20" s="37" t="n"/>
      <c r="L20" s="43">
        <f>IF(C20="","",SUMIFS($J$7:J20,$C$7:C20,C20)-SUMIFS($K$7:K20,$C$7:C20,C20))</f>
        <v/>
      </c>
      <c r="N20">
        <f>IF(AND(C20&lt;&gt;"",C20='Tenant Statement'!$C$6),COUNTIF($C$7:C20,'Tenant Statement'!$C$6),"")</f>
        <v/>
      </c>
    </row>
    <row r="21">
      <c r="B21" s="41" t="n"/>
      <c r="C21" s="18" t="n"/>
      <c r="D21" s="42">
        <f>IF(C21="","",IFERROR(INDEX(TenantProperty,MATCH(C21,Tenants,0)),""))</f>
        <v/>
      </c>
      <c r="E21" s="42">
        <f>IF(C21="","",IFERROR(INDEX(TenantUnit,MATCH(C21,Tenants,0)),""))</f>
        <v/>
      </c>
      <c r="F21" s="18" t="n"/>
      <c r="G21" s="18" t="n"/>
      <c r="H21" s="18" t="n"/>
      <c r="I21" s="18" t="n"/>
      <c r="J21" s="37" t="n"/>
      <c r="K21" s="37" t="n"/>
      <c r="L21" s="43">
        <f>IF(C21="","",SUMIFS($J$7:J21,$C$7:C21,C21)-SUMIFS($K$7:K21,$C$7:C21,C21))</f>
        <v/>
      </c>
      <c r="N21">
        <f>IF(AND(C21&lt;&gt;"",C21='Tenant Statement'!$C$6),COUNTIF($C$7:C21,'Tenant Statement'!$C$6),"")</f>
        <v/>
      </c>
    </row>
    <row r="22">
      <c r="B22" s="41" t="n"/>
      <c r="C22" s="18" t="n"/>
      <c r="D22" s="42">
        <f>IF(C22="","",IFERROR(INDEX(TenantProperty,MATCH(C22,Tenants,0)),""))</f>
        <v/>
      </c>
      <c r="E22" s="42">
        <f>IF(C22="","",IFERROR(INDEX(TenantUnit,MATCH(C22,Tenants,0)),""))</f>
        <v/>
      </c>
      <c r="F22" s="18" t="n"/>
      <c r="G22" s="18" t="n"/>
      <c r="H22" s="18" t="n"/>
      <c r="I22" s="18" t="n"/>
      <c r="J22" s="37" t="n"/>
      <c r="K22" s="37" t="n"/>
      <c r="L22" s="43">
        <f>IF(C22="","",SUMIFS($J$7:J22,$C$7:C22,C22)-SUMIFS($K$7:K22,$C$7:C22,C22))</f>
        <v/>
      </c>
      <c r="N22">
        <f>IF(AND(C22&lt;&gt;"",C22='Tenant Statement'!$C$6),COUNTIF($C$7:C22,'Tenant Statement'!$C$6),"")</f>
        <v/>
      </c>
    </row>
    <row r="23">
      <c r="B23" s="41" t="n"/>
      <c r="C23" s="18" t="n"/>
      <c r="D23" s="42">
        <f>IF(C23="","",IFERROR(INDEX(TenantProperty,MATCH(C23,Tenants,0)),""))</f>
        <v/>
      </c>
      <c r="E23" s="42">
        <f>IF(C23="","",IFERROR(INDEX(TenantUnit,MATCH(C23,Tenants,0)),""))</f>
        <v/>
      </c>
      <c r="F23" s="18" t="n"/>
      <c r="G23" s="18" t="n"/>
      <c r="H23" s="18" t="n"/>
      <c r="I23" s="18" t="n"/>
      <c r="J23" s="37" t="n"/>
      <c r="K23" s="37" t="n"/>
      <c r="L23" s="43">
        <f>IF(C23="","",SUMIFS($J$7:J23,$C$7:C23,C23)-SUMIFS($K$7:K23,$C$7:C23,C23))</f>
        <v/>
      </c>
      <c r="N23">
        <f>IF(AND(C23&lt;&gt;"",C23='Tenant Statement'!$C$6),COUNTIF($C$7:C23,'Tenant Statement'!$C$6),"")</f>
        <v/>
      </c>
    </row>
    <row r="24">
      <c r="B24" s="41" t="n"/>
      <c r="C24" s="18" t="n"/>
      <c r="D24" s="42">
        <f>IF(C24="","",IFERROR(INDEX(TenantProperty,MATCH(C24,Tenants,0)),""))</f>
        <v/>
      </c>
      <c r="E24" s="42">
        <f>IF(C24="","",IFERROR(INDEX(TenantUnit,MATCH(C24,Tenants,0)),""))</f>
        <v/>
      </c>
      <c r="F24" s="18" t="n"/>
      <c r="G24" s="18" t="n"/>
      <c r="H24" s="18" t="n"/>
      <c r="I24" s="18" t="n"/>
      <c r="J24" s="37" t="n"/>
      <c r="K24" s="37" t="n"/>
      <c r="L24" s="43">
        <f>IF(C24="","",SUMIFS($J$7:J24,$C$7:C24,C24)-SUMIFS($K$7:K24,$C$7:C24,C24))</f>
        <v/>
      </c>
      <c r="N24">
        <f>IF(AND(C24&lt;&gt;"",C24='Tenant Statement'!$C$6),COUNTIF($C$7:C24,'Tenant Statement'!$C$6),"")</f>
        <v/>
      </c>
    </row>
    <row r="25">
      <c r="B25" s="41" t="n"/>
      <c r="C25" s="18" t="n"/>
      <c r="D25" s="42">
        <f>IF(C25="","",IFERROR(INDEX(TenantProperty,MATCH(C25,Tenants,0)),""))</f>
        <v/>
      </c>
      <c r="E25" s="42">
        <f>IF(C25="","",IFERROR(INDEX(TenantUnit,MATCH(C25,Tenants,0)),""))</f>
        <v/>
      </c>
      <c r="F25" s="18" t="n"/>
      <c r="G25" s="18" t="n"/>
      <c r="H25" s="18" t="n"/>
      <c r="I25" s="18" t="n"/>
      <c r="J25" s="37" t="n"/>
      <c r="K25" s="37" t="n"/>
      <c r="L25" s="43">
        <f>IF(C25="","",SUMIFS($J$7:J25,$C$7:C25,C25)-SUMIFS($K$7:K25,$C$7:C25,C25))</f>
        <v/>
      </c>
      <c r="N25">
        <f>IF(AND(C25&lt;&gt;"",C25='Tenant Statement'!$C$6),COUNTIF($C$7:C25,'Tenant Statement'!$C$6),"")</f>
        <v/>
      </c>
    </row>
    <row r="26">
      <c r="B26" s="41" t="n"/>
      <c r="C26" s="18" t="n"/>
      <c r="D26" s="42">
        <f>IF(C26="","",IFERROR(INDEX(TenantProperty,MATCH(C26,Tenants,0)),""))</f>
        <v/>
      </c>
      <c r="E26" s="42">
        <f>IF(C26="","",IFERROR(INDEX(TenantUnit,MATCH(C26,Tenants,0)),""))</f>
        <v/>
      </c>
      <c r="F26" s="18" t="n"/>
      <c r="G26" s="18" t="n"/>
      <c r="H26" s="18" t="n"/>
      <c r="I26" s="18" t="n"/>
      <c r="J26" s="37" t="n"/>
      <c r="K26" s="37" t="n"/>
      <c r="L26" s="43">
        <f>IF(C26="","",SUMIFS($J$7:J26,$C$7:C26,C26)-SUMIFS($K$7:K26,$C$7:C26,C26))</f>
        <v/>
      </c>
      <c r="N26">
        <f>IF(AND(C26&lt;&gt;"",C26='Tenant Statement'!$C$6),COUNTIF($C$7:C26,'Tenant Statement'!$C$6),"")</f>
        <v/>
      </c>
    </row>
    <row r="27">
      <c r="B27" s="41" t="n"/>
      <c r="C27" s="18" t="n"/>
      <c r="D27" s="42">
        <f>IF(C27="","",IFERROR(INDEX(TenantProperty,MATCH(C27,Tenants,0)),""))</f>
        <v/>
      </c>
      <c r="E27" s="42">
        <f>IF(C27="","",IFERROR(INDEX(TenantUnit,MATCH(C27,Tenants,0)),""))</f>
        <v/>
      </c>
      <c r="F27" s="18" t="n"/>
      <c r="G27" s="18" t="n"/>
      <c r="H27" s="18" t="n"/>
      <c r="I27" s="18" t="n"/>
      <c r="J27" s="37" t="n"/>
      <c r="K27" s="37" t="n"/>
      <c r="L27" s="43">
        <f>IF(C27="","",SUMIFS($J$7:J27,$C$7:C27,C27)-SUMIFS($K$7:K27,$C$7:C27,C27))</f>
        <v/>
      </c>
      <c r="N27">
        <f>IF(AND(C27&lt;&gt;"",C27='Tenant Statement'!$C$6),COUNTIF($C$7:C27,'Tenant Statement'!$C$6),"")</f>
        <v/>
      </c>
    </row>
    <row r="28">
      <c r="B28" s="41" t="n"/>
      <c r="C28" s="18" t="n"/>
      <c r="D28" s="42">
        <f>IF(C28="","",IFERROR(INDEX(TenantProperty,MATCH(C28,Tenants,0)),""))</f>
        <v/>
      </c>
      <c r="E28" s="42">
        <f>IF(C28="","",IFERROR(INDEX(TenantUnit,MATCH(C28,Tenants,0)),""))</f>
        <v/>
      </c>
      <c r="F28" s="18" t="n"/>
      <c r="G28" s="18" t="n"/>
      <c r="H28" s="18" t="n"/>
      <c r="I28" s="18" t="n"/>
      <c r="J28" s="37" t="n"/>
      <c r="K28" s="37" t="n"/>
      <c r="L28" s="43">
        <f>IF(C28="","",SUMIFS($J$7:J28,$C$7:C28,C28)-SUMIFS($K$7:K28,$C$7:C28,C28))</f>
        <v/>
      </c>
      <c r="N28">
        <f>IF(AND(C28&lt;&gt;"",C28='Tenant Statement'!$C$6),COUNTIF($C$7:C28,'Tenant Statement'!$C$6),"")</f>
        <v/>
      </c>
    </row>
    <row r="29">
      <c r="B29" s="41" t="n"/>
      <c r="C29" s="18" t="n"/>
      <c r="D29" s="42">
        <f>IF(C29="","",IFERROR(INDEX(TenantProperty,MATCH(C29,Tenants,0)),""))</f>
        <v/>
      </c>
      <c r="E29" s="42">
        <f>IF(C29="","",IFERROR(INDEX(TenantUnit,MATCH(C29,Tenants,0)),""))</f>
        <v/>
      </c>
      <c r="F29" s="18" t="n"/>
      <c r="G29" s="18" t="n"/>
      <c r="H29" s="18" t="n"/>
      <c r="I29" s="18" t="n"/>
      <c r="J29" s="37" t="n"/>
      <c r="K29" s="37" t="n"/>
      <c r="L29" s="43">
        <f>IF(C29="","",SUMIFS($J$7:J29,$C$7:C29,C29)-SUMIFS($K$7:K29,$C$7:C29,C29))</f>
        <v/>
      </c>
      <c r="N29">
        <f>IF(AND(C29&lt;&gt;"",C29='Tenant Statement'!$C$6),COUNTIF($C$7:C29,'Tenant Statement'!$C$6),"")</f>
        <v/>
      </c>
    </row>
    <row r="30">
      <c r="B30" s="41" t="n"/>
      <c r="C30" s="18" t="n"/>
      <c r="D30" s="42">
        <f>IF(C30="","",IFERROR(INDEX(TenantProperty,MATCH(C30,Tenants,0)),""))</f>
        <v/>
      </c>
      <c r="E30" s="42">
        <f>IF(C30="","",IFERROR(INDEX(TenantUnit,MATCH(C30,Tenants,0)),""))</f>
        <v/>
      </c>
      <c r="F30" s="18" t="n"/>
      <c r="G30" s="18" t="n"/>
      <c r="H30" s="18" t="n"/>
      <c r="I30" s="18" t="n"/>
      <c r="J30" s="37" t="n"/>
      <c r="K30" s="37" t="n"/>
      <c r="L30" s="43">
        <f>IF(C30="","",SUMIFS($J$7:J30,$C$7:C30,C30)-SUMIFS($K$7:K30,$C$7:C30,C30))</f>
        <v/>
      </c>
      <c r="N30">
        <f>IF(AND(C30&lt;&gt;"",C30='Tenant Statement'!$C$6),COUNTIF($C$7:C30,'Tenant Statement'!$C$6),"")</f>
        <v/>
      </c>
    </row>
    <row r="31">
      <c r="B31" s="41" t="n"/>
      <c r="C31" s="18" t="n"/>
      <c r="D31" s="42">
        <f>IF(C31="","",IFERROR(INDEX(TenantProperty,MATCH(C31,Tenants,0)),""))</f>
        <v/>
      </c>
      <c r="E31" s="42">
        <f>IF(C31="","",IFERROR(INDEX(TenantUnit,MATCH(C31,Tenants,0)),""))</f>
        <v/>
      </c>
      <c r="F31" s="18" t="n"/>
      <c r="G31" s="18" t="n"/>
      <c r="H31" s="18" t="n"/>
      <c r="I31" s="18" t="n"/>
      <c r="J31" s="37" t="n"/>
      <c r="K31" s="37" t="n"/>
      <c r="L31" s="43">
        <f>IF(C31="","",SUMIFS($J$7:J31,$C$7:C31,C31)-SUMIFS($K$7:K31,$C$7:C31,C31))</f>
        <v/>
      </c>
      <c r="N31">
        <f>IF(AND(C31&lt;&gt;"",C31='Tenant Statement'!$C$6),COUNTIF($C$7:C31,'Tenant Statement'!$C$6),"")</f>
        <v/>
      </c>
    </row>
    <row r="32">
      <c r="B32" s="41" t="n"/>
      <c r="C32" s="18" t="n"/>
      <c r="D32" s="42">
        <f>IF(C32="","",IFERROR(INDEX(TenantProperty,MATCH(C32,Tenants,0)),""))</f>
        <v/>
      </c>
      <c r="E32" s="42">
        <f>IF(C32="","",IFERROR(INDEX(TenantUnit,MATCH(C32,Tenants,0)),""))</f>
        <v/>
      </c>
      <c r="F32" s="18" t="n"/>
      <c r="G32" s="18" t="n"/>
      <c r="H32" s="18" t="n"/>
      <c r="I32" s="18" t="n"/>
      <c r="J32" s="37" t="n"/>
      <c r="K32" s="37" t="n"/>
      <c r="L32" s="43">
        <f>IF(C32="","",SUMIFS($J$7:J32,$C$7:C32,C32)-SUMIFS($K$7:K32,$C$7:C32,C32))</f>
        <v/>
      </c>
      <c r="N32">
        <f>IF(AND(C32&lt;&gt;"",C32='Tenant Statement'!$C$6),COUNTIF($C$7:C32,'Tenant Statement'!$C$6),"")</f>
        <v/>
      </c>
    </row>
    <row r="33">
      <c r="B33" s="41" t="n"/>
      <c r="C33" s="18" t="n"/>
      <c r="D33" s="42">
        <f>IF(C33="","",IFERROR(INDEX(TenantProperty,MATCH(C33,Tenants,0)),""))</f>
        <v/>
      </c>
      <c r="E33" s="42">
        <f>IF(C33="","",IFERROR(INDEX(TenantUnit,MATCH(C33,Tenants,0)),""))</f>
        <v/>
      </c>
      <c r="F33" s="18" t="n"/>
      <c r="G33" s="18" t="n"/>
      <c r="H33" s="18" t="n"/>
      <c r="I33" s="18" t="n"/>
      <c r="J33" s="37" t="n"/>
      <c r="K33" s="37" t="n"/>
      <c r="L33" s="43">
        <f>IF(C33="","",SUMIFS($J$7:J33,$C$7:C33,C33)-SUMIFS($K$7:K33,$C$7:C33,C33))</f>
        <v/>
      </c>
      <c r="N33">
        <f>IF(AND(C33&lt;&gt;"",C33='Tenant Statement'!$C$6),COUNTIF($C$7:C33,'Tenant Statement'!$C$6),"")</f>
        <v/>
      </c>
    </row>
    <row r="34">
      <c r="B34" s="41" t="n"/>
      <c r="C34" s="18" t="n"/>
      <c r="D34" s="42">
        <f>IF(C34="","",IFERROR(INDEX(TenantProperty,MATCH(C34,Tenants,0)),""))</f>
        <v/>
      </c>
      <c r="E34" s="42">
        <f>IF(C34="","",IFERROR(INDEX(TenantUnit,MATCH(C34,Tenants,0)),""))</f>
        <v/>
      </c>
      <c r="F34" s="18" t="n"/>
      <c r="G34" s="18" t="n"/>
      <c r="H34" s="18" t="n"/>
      <c r="I34" s="18" t="n"/>
      <c r="J34" s="37" t="n"/>
      <c r="K34" s="37" t="n"/>
      <c r="L34" s="43">
        <f>IF(C34="","",SUMIFS($J$7:J34,$C$7:C34,C34)-SUMIFS($K$7:K34,$C$7:C34,C34))</f>
        <v/>
      </c>
      <c r="N34">
        <f>IF(AND(C34&lt;&gt;"",C34='Tenant Statement'!$C$6),COUNTIF($C$7:C34,'Tenant Statement'!$C$6),"")</f>
        <v/>
      </c>
    </row>
    <row r="35">
      <c r="B35" s="41" t="n"/>
      <c r="C35" s="18" t="n"/>
      <c r="D35" s="42">
        <f>IF(C35="","",IFERROR(INDEX(TenantProperty,MATCH(C35,Tenants,0)),""))</f>
        <v/>
      </c>
      <c r="E35" s="42">
        <f>IF(C35="","",IFERROR(INDEX(TenantUnit,MATCH(C35,Tenants,0)),""))</f>
        <v/>
      </c>
      <c r="F35" s="18" t="n"/>
      <c r="G35" s="18" t="n"/>
      <c r="H35" s="18" t="n"/>
      <c r="I35" s="18" t="n"/>
      <c r="J35" s="37" t="n"/>
      <c r="K35" s="37" t="n"/>
      <c r="L35" s="43">
        <f>IF(C35="","",SUMIFS($J$7:J35,$C$7:C35,C35)-SUMIFS($K$7:K35,$C$7:C35,C35))</f>
        <v/>
      </c>
      <c r="N35">
        <f>IF(AND(C35&lt;&gt;"",C35='Tenant Statement'!$C$6),COUNTIF($C$7:C35,'Tenant Statement'!$C$6),"")</f>
        <v/>
      </c>
    </row>
    <row r="36">
      <c r="B36" s="41" t="n"/>
      <c r="C36" s="18" t="n"/>
      <c r="D36" s="42">
        <f>IF(C36="","",IFERROR(INDEX(TenantProperty,MATCH(C36,Tenants,0)),""))</f>
        <v/>
      </c>
      <c r="E36" s="42">
        <f>IF(C36="","",IFERROR(INDEX(TenantUnit,MATCH(C36,Tenants,0)),""))</f>
        <v/>
      </c>
      <c r="F36" s="18" t="n"/>
      <c r="G36" s="18" t="n"/>
      <c r="H36" s="18" t="n"/>
      <c r="I36" s="18" t="n"/>
      <c r="J36" s="37" t="n"/>
      <c r="K36" s="37" t="n"/>
      <c r="L36" s="43">
        <f>IF(C36="","",SUMIFS($J$7:J36,$C$7:C36,C36)-SUMIFS($K$7:K36,$C$7:C36,C36))</f>
        <v/>
      </c>
      <c r="N36">
        <f>IF(AND(C36&lt;&gt;"",C36='Tenant Statement'!$C$6),COUNTIF($C$7:C36,'Tenant Statement'!$C$6),"")</f>
        <v/>
      </c>
    </row>
    <row r="37">
      <c r="B37" s="41" t="n"/>
      <c r="C37" s="18" t="n"/>
      <c r="D37" s="42">
        <f>IF(C37="","",IFERROR(INDEX(TenantProperty,MATCH(C37,Tenants,0)),""))</f>
        <v/>
      </c>
      <c r="E37" s="42">
        <f>IF(C37="","",IFERROR(INDEX(TenantUnit,MATCH(C37,Tenants,0)),""))</f>
        <v/>
      </c>
      <c r="F37" s="18" t="n"/>
      <c r="G37" s="18" t="n"/>
      <c r="H37" s="18" t="n"/>
      <c r="I37" s="18" t="n"/>
      <c r="J37" s="37" t="n"/>
      <c r="K37" s="37" t="n"/>
      <c r="L37" s="43">
        <f>IF(C37="","",SUMIFS($J$7:J37,$C$7:C37,C37)-SUMIFS($K$7:K37,$C$7:C37,C37))</f>
        <v/>
      </c>
      <c r="N37">
        <f>IF(AND(C37&lt;&gt;"",C37='Tenant Statement'!$C$6),COUNTIF($C$7:C37,'Tenant Statement'!$C$6),"")</f>
        <v/>
      </c>
    </row>
    <row r="38">
      <c r="B38" s="41" t="n"/>
      <c r="C38" s="18" t="n"/>
      <c r="D38" s="42">
        <f>IF(C38="","",IFERROR(INDEX(TenantProperty,MATCH(C38,Tenants,0)),""))</f>
        <v/>
      </c>
      <c r="E38" s="42">
        <f>IF(C38="","",IFERROR(INDEX(TenantUnit,MATCH(C38,Tenants,0)),""))</f>
        <v/>
      </c>
      <c r="F38" s="18" t="n"/>
      <c r="G38" s="18" t="n"/>
      <c r="H38" s="18" t="n"/>
      <c r="I38" s="18" t="n"/>
      <c r="J38" s="37" t="n"/>
      <c r="K38" s="37" t="n"/>
      <c r="L38" s="43">
        <f>IF(C38="","",SUMIFS($J$7:J38,$C$7:C38,C38)-SUMIFS($K$7:K38,$C$7:C38,C38))</f>
        <v/>
      </c>
      <c r="N38">
        <f>IF(AND(C38&lt;&gt;"",C38='Tenant Statement'!$C$6),COUNTIF($C$7:C38,'Tenant Statement'!$C$6),"")</f>
        <v/>
      </c>
    </row>
    <row r="39">
      <c r="B39" s="41" t="n"/>
      <c r="C39" s="18" t="n"/>
      <c r="D39" s="42">
        <f>IF(C39="","",IFERROR(INDEX(TenantProperty,MATCH(C39,Tenants,0)),""))</f>
        <v/>
      </c>
      <c r="E39" s="42">
        <f>IF(C39="","",IFERROR(INDEX(TenantUnit,MATCH(C39,Tenants,0)),""))</f>
        <v/>
      </c>
      <c r="F39" s="18" t="n"/>
      <c r="G39" s="18" t="n"/>
      <c r="H39" s="18" t="n"/>
      <c r="I39" s="18" t="n"/>
      <c r="J39" s="37" t="n"/>
      <c r="K39" s="37" t="n"/>
      <c r="L39" s="43">
        <f>IF(C39="","",SUMIFS($J$7:J39,$C$7:C39,C39)-SUMIFS($K$7:K39,$C$7:C39,C39))</f>
        <v/>
      </c>
      <c r="N39">
        <f>IF(AND(C39&lt;&gt;"",C39='Tenant Statement'!$C$6),COUNTIF($C$7:C39,'Tenant Statement'!$C$6),"")</f>
        <v/>
      </c>
    </row>
    <row r="40">
      <c r="B40" s="41" t="n"/>
      <c r="C40" s="18" t="n"/>
      <c r="D40" s="42">
        <f>IF(C40="","",IFERROR(INDEX(TenantProperty,MATCH(C40,Tenants,0)),""))</f>
        <v/>
      </c>
      <c r="E40" s="42">
        <f>IF(C40="","",IFERROR(INDEX(TenantUnit,MATCH(C40,Tenants,0)),""))</f>
        <v/>
      </c>
      <c r="F40" s="18" t="n"/>
      <c r="G40" s="18" t="n"/>
      <c r="H40" s="18" t="n"/>
      <c r="I40" s="18" t="n"/>
      <c r="J40" s="37" t="n"/>
      <c r="K40" s="37" t="n"/>
      <c r="L40" s="43">
        <f>IF(C40="","",SUMIFS($J$7:J40,$C$7:C40,C40)-SUMIFS($K$7:K40,$C$7:C40,C40))</f>
        <v/>
      </c>
      <c r="N40">
        <f>IF(AND(C40&lt;&gt;"",C40='Tenant Statement'!$C$6),COUNTIF($C$7:C40,'Tenant Statement'!$C$6),"")</f>
        <v/>
      </c>
    </row>
    <row r="41">
      <c r="B41" s="41" t="n"/>
      <c r="C41" s="18" t="n"/>
      <c r="D41" s="42">
        <f>IF(C41="","",IFERROR(INDEX(TenantProperty,MATCH(C41,Tenants,0)),""))</f>
        <v/>
      </c>
      <c r="E41" s="42">
        <f>IF(C41="","",IFERROR(INDEX(TenantUnit,MATCH(C41,Tenants,0)),""))</f>
        <v/>
      </c>
      <c r="F41" s="18" t="n"/>
      <c r="G41" s="18" t="n"/>
      <c r="H41" s="18" t="n"/>
      <c r="I41" s="18" t="n"/>
      <c r="J41" s="37" t="n"/>
      <c r="K41" s="37" t="n"/>
      <c r="L41" s="43">
        <f>IF(C41="","",SUMIFS($J$7:J41,$C$7:C41,C41)-SUMIFS($K$7:K41,$C$7:C41,C41))</f>
        <v/>
      </c>
      <c r="N41">
        <f>IF(AND(C41&lt;&gt;"",C41='Tenant Statement'!$C$6),COUNTIF($C$7:C41,'Tenant Statement'!$C$6),"")</f>
        <v/>
      </c>
    </row>
    <row r="42">
      <c r="B42" s="41" t="n"/>
      <c r="C42" s="18" t="n"/>
      <c r="D42" s="42">
        <f>IF(C42="","",IFERROR(INDEX(TenantProperty,MATCH(C42,Tenants,0)),""))</f>
        <v/>
      </c>
      <c r="E42" s="42">
        <f>IF(C42="","",IFERROR(INDEX(TenantUnit,MATCH(C42,Tenants,0)),""))</f>
        <v/>
      </c>
      <c r="F42" s="18" t="n"/>
      <c r="G42" s="18" t="n"/>
      <c r="H42" s="18" t="n"/>
      <c r="I42" s="18" t="n"/>
      <c r="J42" s="37" t="n"/>
      <c r="K42" s="37" t="n"/>
      <c r="L42" s="43">
        <f>IF(C42="","",SUMIFS($J$7:J42,$C$7:C42,C42)-SUMIFS($K$7:K42,$C$7:C42,C42))</f>
        <v/>
      </c>
      <c r="N42">
        <f>IF(AND(C42&lt;&gt;"",C42='Tenant Statement'!$C$6),COUNTIF($C$7:C42,'Tenant Statement'!$C$6),"")</f>
        <v/>
      </c>
    </row>
    <row r="43">
      <c r="B43" s="41" t="n"/>
      <c r="C43" s="18" t="n"/>
      <c r="D43" s="42">
        <f>IF(C43="","",IFERROR(INDEX(TenantProperty,MATCH(C43,Tenants,0)),""))</f>
        <v/>
      </c>
      <c r="E43" s="42">
        <f>IF(C43="","",IFERROR(INDEX(TenantUnit,MATCH(C43,Tenants,0)),""))</f>
        <v/>
      </c>
      <c r="F43" s="18" t="n"/>
      <c r="G43" s="18" t="n"/>
      <c r="H43" s="18" t="n"/>
      <c r="I43" s="18" t="n"/>
      <c r="J43" s="37" t="n"/>
      <c r="K43" s="37" t="n"/>
      <c r="L43" s="43">
        <f>IF(C43="","",SUMIFS($J$7:J43,$C$7:C43,C43)-SUMIFS($K$7:K43,$C$7:C43,C43))</f>
        <v/>
      </c>
      <c r="N43">
        <f>IF(AND(C43&lt;&gt;"",C43='Tenant Statement'!$C$6),COUNTIF($C$7:C43,'Tenant Statement'!$C$6),"")</f>
        <v/>
      </c>
    </row>
    <row r="44">
      <c r="B44" s="41" t="n"/>
      <c r="C44" s="18" t="n"/>
      <c r="D44" s="42">
        <f>IF(C44="","",IFERROR(INDEX(TenantProperty,MATCH(C44,Tenants,0)),""))</f>
        <v/>
      </c>
      <c r="E44" s="42">
        <f>IF(C44="","",IFERROR(INDEX(TenantUnit,MATCH(C44,Tenants,0)),""))</f>
        <v/>
      </c>
      <c r="F44" s="18" t="n"/>
      <c r="G44" s="18" t="n"/>
      <c r="H44" s="18" t="n"/>
      <c r="I44" s="18" t="n"/>
      <c r="J44" s="37" t="n"/>
      <c r="K44" s="37" t="n"/>
      <c r="L44" s="43">
        <f>IF(C44="","",SUMIFS($J$7:J44,$C$7:C44,C44)-SUMIFS($K$7:K44,$C$7:C44,C44))</f>
        <v/>
      </c>
      <c r="N44">
        <f>IF(AND(C44&lt;&gt;"",C44='Tenant Statement'!$C$6),COUNTIF($C$7:C44,'Tenant Statement'!$C$6),"")</f>
        <v/>
      </c>
    </row>
    <row r="45">
      <c r="B45" s="41" t="n"/>
      <c r="C45" s="18" t="n"/>
      <c r="D45" s="42">
        <f>IF(C45="","",IFERROR(INDEX(TenantProperty,MATCH(C45,Tenants,0)),""))</f>
        <v/>
      </c>
      <c r="E45" s="42">
        <f>IF(C45="","",IFERROR(INDEX(TenantUnit,MATCH(C45,Tenants,0)),""))</f>
        <v/>
      </c>
      <c r="F45" s="18" t="n"/>
      <c r="G45" s="18" t="n"/>
      <c r="H45" s="18" t="n"/>
      <c r="I45" s="18" t="n"/>
      <c r="J45" s="37" t="n"/>
      <c r="K45" s="37" t="n"/>
      <c r="L45" s="43">
        <f>IF(C45="","",SUMIFS($J$7:J45,$C$7:C45,C45)-SUMIFS($K$7:K45,$C$7:C45,C45))</f>
        <v/>
      </c>
      <c r="N45">
        <f>IF(AND(C45&lt;&gt;"",C45='Tenant Statement'!$C$6),COUNTIF($C$7:C45,'Tenant Statement'!$C$6),"")</f>
        <v/>
      </c>
    </row>
    <row r="46">
      <c r="B46" s="41" t="n"/>
      <c r="C46" s="18" t="n"/>
      <c r="D46" s="42">
        <f>IF(C46="","",IFERROR(INDEX(TenantProperty,MATCH(C46,Tenants,0)),""))</f>
        <v/>
      </c>
      <c r="E46" s="42">
        <f>IF(C46="","",IFERROR(INDEX(TenantUnit,MATCH(C46,Tenants,0)),""))</f>
        <v/>
      </c>
      <c r="F46" s="18" t="n"/>
      <c r="G46" s="18" t="n"/>
      <c r="H46" s="18" t="n"/>
      <c r="I46" s="18" t="n"/>
      <c r="J46" s="37" t="n"/>
      <c r="K46" s="37" t="n"/>
      <c r="L46" s="43">
        <f>IF(C46="","",SUMIFS($J$7:J46,$C$7:C46,C46)-SUMIFS($K$7:K46,$C$7:C46,C46))</f>
        <v/>
      </c>
      <c r="N46">
        <f>IF(AND(C46&lt;&gt;"",C46='Tenant Statement'!$C$6),COUNTIF($C$7:C46,'Tenant Statement'!$C$6),"")</f>
        <v/>
      </c>
    </row>
    <row r="47">
      <c r="B47" s="41" t="n"/>
      <c r="C47" s="18" t="n"/>
      <c r="D47" s="42">
        <f>IF(C47="","",IFERROR(INDEX(TenantProperty,MATCH(C47,Tenants,0)),""))</f>
        <v/>
      </c>
      <c r="E47" s="42">
        <f>IF(C47="","",IFERROR(INDEX(TenantUnit,MATCH(C47,Tenants,0)),""))</f>
        <v/>
      </c>
      <c r="F47" s="18" t="n"/>
      <c r="G47" s="18" t="n"/>
      <c r="H47" s="18" t="n"/>
      <c r="I47" s="18" t="n"/>
      <c r="J47" s="37" t="n"/>
      <c r="K47" s="37" t="n"/>
      <c r="L47" s="43">
        <f>IF(C47="","",SUMIFS($J$7:J47,$C$7:C47,C47)-SUMIFS($K$7:K47,$C$7:C47,C47))</f>
        <v/>
      </c>
      <c r="N47">
        <f>IF(AND(C47&lt;&gt;"",C47='Tenant Statement'!$C$6),COUNTIF($C$7:C47,'Tenant Statement'!$C$6),"")</f>
        <v/>
      </c>
    </row>
    <row r="48">
      <c r="B48" s="41" t="n"/>
      <c r="C48" s="18" t="n"/>
      <c r="D48" s="42">
        <f>IF(C48="","",IFERROR(INDEX(TenantProperty,MATCH(C48,Tenants,0)),""))</f>
        <v/>
      </c>
      <c r="E48" s="42">
        <f>IF(C48="","",IFERROR(INDEX(TenantUnit,MATCH(C48,Tenants,0)),""))</f>
        <v/>
      </c>
      <c r="F48" s="18" t="n"/>
      <c r="G48" s="18" t="n"/>
      <c r="H48" s="18" t="n"/>
      <c r="I48" s="18" t="n"/>
      <c r="J48" s="37" t="n"/>
      <c r="K48" s="37" t="n"/>
      <c r="L48" s="43">
        <f>IF(C48="","",SUMIFS($J$7:J48,$C$7:C48,C48)-SUMIFS($K$7:K48,$C$7:C48,C48))</f>
        <v/>
      </c>
      <c r="N48">
        <f>IF(AND(C48&lt;&gt;"",C48='Tenant Statement'!$C$6),COUNTIF($C$7:C48,'Tenant Statement'!$C$6),"")</f>
        <v/>
      </c>
    </row>
    <row r="49">
      <c r="B49" s="41" t="n"/>
      <c r="C49" s="18" t="n"/>
      <c r="D49" s="42">
        <f>IF(C49="","",IFERROR(INDEX(TenantProperty,MATCH(C49,Tenants,0)),""))</f>
        <v/>
      </c>
      <c r="E49" s="42">
        <f>IF(C49="","",IFERROR(INDEX(TenantUnit,MATCH(C49,Tenants,0)),""))</f>
        <v/>
      </c>
      <c r="F49" s="18" t="n"/>
      <c r="G49" s="18" t="n"/>
      <c r="H49" s="18" t="n"/>
      <c r="I49" s="18" t="n"/>
      <c r="J49" s="37" t="n"/>
      <c r="K49" s="37" t="n"/>
      <c r="L49" s="43">
        <f>IF(C49="","",SUMIFS($J$7:J49,$C$7:C49,C49)-SUMIFS($K$7:K49,$C$7:C49,C49))</f>
        <v/>
      </c>
      <c r="N49">
        <f>IF(AND(C49&lt;&gt;"",C49='Tenant Statement'!$C$6),COUNTIF($C$7:C49,'Tenant Statement'!$C$6),"")</f>
        <v/>
      </c>
    </row>
    <row r="50">
      <c r="B50" s="41" t="n"/>
      <c r="C50" s="18" t="n"/>
      <c r="D50" s="42">
        <f>IF(C50="","",IFERROR(INDEX(TenantProperty,MATCH(C50,Tenants,0)),""))</f>
        <v/>
      </c>
      <c r="E50" s="42">
        <f>IF(C50="","",IFERROR(INDEX(TenantUnit,MATCH(C50,Tenants,0)),""))</f>
        <v/>
      </c>
      <c r="F50" s="18" t="n"/>
      <c r="G50" s="18" t="n"/>
      <c r="H50" s="18" t="n"/>
      <c r="I50" s="18" t="n"/>
      <c r="J50" s="37" t="n"/>
      <c r="K50" s="37" t="n"/>
      <c r="L50" s="43">
        <f>IF(C50="","",SUMIFS($J$7:J50,$C$7:C50,C50)-SUMIFS($K$7:K50,$C$7:C50,C50))</f>
        <v/>
      </c>
      <c r="N50">
        <f>IF(AND(C50&lt;&gt;"",C50='Tenant Statement'!$C$6),COUNTIF($C$7:C50,'Tenant Statement'!$C$6),"")</f>
        <v/>
      </c>
    </row>
    <row r="51">
      <c r="B51" s="41" t="n"/>
      <c r="C51" s="18" t="n"/>
      <c r="D51" s="42">
        <f>IF(C51="","",IFERROR(INDEX(TenantProperty,MATCH(C51,Tenants,0)),""))</f>
        <v/>
      </c>
      <c r="E51" s="42">
        <f>IF(C51="","",IFERROR(INDEX(TenantUnit,MATCH(C51,Tenants,0)),""))</f>
        <v/>
      </c>
      <c r="F51" s="18" t="n"/>
      <c r="G51" s="18" t="n"/>
      <c r="H51" s="18" t="n"/>
      <c r="I51" s="18" t="n"/>
      <c r="J51" s="37" t="n"/>
      <c r="K51" s="37" t="n"/>
      <c r="L51" s="43">
        <f>IF(C51="","",SUMIFS($J$7:J51,$C$7:C51,C51)-SUMIFS($K$7:K51,$C$7:C51,C51))</f>
        <v/>
      </c>
      <c r="N51">
        <f>IF(AND(C51&lt;&gt;"",C51='Tenant Statement'!$C$6),COUNTIF($C$7:C51,'Tenant Statement'!$C$6),"")</f>
        <v/>
      </c>
    </row>
    <row r="52">
      <c r="B52" s="41" t="n"/>
      <c r="C52" s="18" t="n"/>
      <c r="D52" s="42">
        <f>IF(C52="","",IFERROR(INDEX(TenantProperty,MATCH(C52,Tenants,0)),""))</f>
        <v/>
      </c>
      <c r="E52" s="42">
        <f>IF(C52="","",IFERROR(INDEX(TenantUnit,MATCH(C52,Tenants,0)),""))</f>
        <v/>
      </c>
      <c r="F52" s="18" t="n"/>
      <c r="G52" s="18" t="n"/>
      <c r="H52" s="18" t="n"/>
      <c r="I52" s="18" t="n"/>
      <c r="J52" s="37" t="n"/>
      <c r="K52" s="37" t="n"/>
      <c r="L52" s="43">
        <f>IF(C52="","",SUMIFS($J$7:J52,$C$7:C52,C52)-SUMIFS($K$7:K52,$C$7:C52,C52))</f>
        <v/>
      </c>
      <c r="N52">
        <f>IF(AND(C52&lt;&gt;"",C52='Tenant Statement'!$C$6),COUNTIF($C$7:C52,'Tenant Statement'!$C$6),"")</f>
        <v/>
      </c>
    </row>
    <row r="53">
      <c r="B53" s="41" t="n"/>
      <c r="C53" s="18" t="n"/>
      <c r="D53" s="42">
        <f>IF(C53="","",IFERROR(INDEX(TenantProperty,MATCH(C53,Tenants,0)),""))</f>
        <v/>
      </c>
      <c r="E53" s="42">
        <f>IF(C53="","",IFERROR(INDEX(TenantUnit,MATCH(C53,Tenants,0)),""))</f>
        <v/>
      </c>
      <c r="F53" s="18" t="n"/>
      <c r="G53" s="18" t="n"/>
      <c r="H53" s="18" t="n"/>
      <c r="I53" s="18" t="n"/>
      <c r="J53" s="37" t="n"/>
      <c r="K53" s="37" t="n"/>
      <c r="L53" s="43">
        <f>IF(C53="","",SUMIFS($J$7:J53,$C$7:C53,C53)-SUMIFS($K$7:K53,$C$7:C53,C53))</f>
        <v/>
      </c>
      <c r="N53">
        <f>IF(AND(C53&lt;&gt;"",C53='Tenant Statement'!$C$6),COUNTIF($C$7:C53,'Tenant Statement'!$C$6),"")</f>
        <v/>
      </c>
    </row>
    <row r="54">
      <c r="B54" s="41" t="n"/>
      <c r="C54" s="18" t="n"/>
      <c r="D54" s="42">
        <f>IF(C54="","",IFERROR(INDEX(TenantProperty,MATCH(C54,Tenants,0)),""))</f>
        <v/>
      </c>
      <c r="E54" s="42">
        <f>IF(C54="","",IFERROR(INDEX(TenantUnit,MATCH(C54,Tenants,0)),""))</f>
        <v/>
      </c>
      <c r="F54" s="18" t="n"/>
      <c r="G54" s="18" t="n"/>
      <c r="H54" s="18" t="n"/>
      <c r="I54" s="18" t="n"/>
      <c r="J54" s="37" t="n"/>
      <c r="K54" s="37" t="n"/>
      <c r="L54" s="43">
        <f>IF(C54="","",SUMIFS($J$7:J54,$C$7:C54,C54)-SUMIFS($K$7:K54,$C$7:C54,C54))</f>
        <v/>
      </c>
      <c r="N54">
        <f>IF(AND(C54&lt;&gt;"",C54='Tenant Statement'!$C$6),COUNTIF($C$7:C54,'Tenant Statement'!$C$6),"")</f>
        <v/>
      </c>
    </row>
    <row r="55">
      <c r="B55" s="41" t="n"/>
      <c r="C55" s="18" t="n"/>
      <c r="D55" s="42">
        <f>IF(C55="","",IFERROR(INDEX(TenantProperty,MATCH(C55,Tenants,0)),""))</f>
        <v/>
      </c>
      <c r="E55" s="42">
        <f>IF(C55="","",IFERROR(INDEX(TenantUnit,MATCH(C55,Tenants,0)),""))</f>
        <v/>
      </c>
      <c r="F55" s="18" t="n"/>
      <c r="G55" s="18" t="n"/>
      <c r="H55" s="18" t="n"/>
      <c r="I55" s="18" t="n"/>
      <c r="J55" s="37" t="n"/>
      <c r="K55" s="37" t="n"/>
      <c r="L55" s="43">
        <f>IF(C55="","",SUMIFS($J$7:J55,$C$7:C55,C55)-SUMIFS($K$7:K55,$C$7:C55,C55))</f>
        <v/>
      </c>
      <c r="N55">
        <f>IF(AND(C55&lt;&gt;"",C55='Tenant Statement'!$C$6),COUNTIF($C$7:C55,'Tenant Statement'!$C$6),"")</f>
        <v/>
      </c>
    </row>
    <row r="56">
      <c r="B56" s="41" t="n"/>
      <c r="C56" s="18" t="n"/>
      <c r="D56" s="42">
        <f>IF(C56="","",IFERROR(INDEX(TenantProperty,MATCH(C56,Tenants,0)),""))</f>
        <v/>
      </c>
      <c r="E56" s="42">
        <f>IF(C56="","",IFERROR(INDEX(TenantUnit,MATCH(C56,Tenants,0)),""))</f>
        <v/>
      </c>
      <c r="F56" s="18" t="n"/>
      <c r="G56" s="18" t="n"/>
      <c r="H56" s="18" t="n"/>
      <c r="I56" s="18" t="n"/>
      <c r="J56" s="37" t="n"/>
      <c r="K56" s="37" t="n"/>
      <c r="L56" s="43">
        <f>IF(C56="","",SUMIFS($J$7:J56,$C$7:C56,C56)-SUMIFS($K$7:K56,$C$7:C56,C56))</f>
        <v/>
      </c>
      <c r="N56">
        <f>IF(AND(C56&lt;&gt;"",C56='Tenant Statement'!$C$6),COUNTIF($C$7:C56,'Tenant Statement'!$C$6),"")</f>
        <v/>
      </c>
    </row>
    <row r="57">
      <c r="B57" s="41" t="n"/>
      <c r="C57" s="18" t="n"/>
      <c r="D57" s="42">
        <f>IF(C57="","",IFERROR(INDEX(TenantProperty,MATCH(C57,Tenants,0)),""))</f>
        <v/>
      </c>
      <c r="E57" s="42">
        <f>IF(C57="","",IFERROR(INDEX(TenantUnit,MATCH(C57,Tenants,0)),""))</f>
        <v/>
      </c>
      <c r="F57" s="18" t="n"/>
      <c r="G57" s="18" t="n"/>
      <c r="H57" s="18" t="n"/>
      <c r="I57" s="18" t="n"/>
      <c r="J57" s="37" t="n"/>
      <c r="K57" s="37" t="n"/>
      <c r="L57" s="43">
        <f>IF(C57="","",SUMIFS($J$7:J57,$C$7:C57,C57)-SUMIFS($K$7:K57,$C$7:C57,C57))</f>
        <v/>
      </c>
      <c r="N57">
        <f>IF(AND(C57&lt;&gt;"",C57='Tenant Statement'!$C$6),COUNTIF($C$7:C57,'Tenant Statement'!$C$6),"")</f>
        <v/>
      </c>
    </row>
    <row r="58">
      <c r="B58" s="41" t="n"/>
      <c r="C58" s="18" t="n"/>
      <c r="D58" s="42">
        <f>IF(C58="","",IFERROR(INDEX(TenantProperty,MATCH(C58,Tenants,0)),""))</f>
        <v/>
      </c>
      <c r="E58" s="42">
        <f>IF(C58="","",IFERROR(INDEX(TenantUnit,MATCH(C58,Tenants,0)),""))</f>
        <v/>
      </c>
      <c r="F58" s="18" t="n"/>
      <c r="G58" s="18" t="n"/>
      <c r="H58" s="18" t="n"/>
      <c r="I58" s="18" t="n"/>
      <c r="J58" s="37" t="n"/>
      <c r="K58" s="37" t="n"/>
      <c r="L58" s="43">
        <f>IF(C58="","",SUMIFS($J$7:J58,$C$7:C58,C58)-SUMIFS($K$7:K58,$C$7:C58,C58))</f>
        <v/>
      </c>
      <c r="N58">
        <f>IF(AND(C58&lt;&gt;"",C58='Tenant Statement'!$C$6),COUNTIF($C$7:C58,'Tenant Statement'!$C$6),"")</f>
        <v/>
      </c>
    </row>
    <row r="59">
      <c r="B59" s="41" t="n"/>
      <c r="C59" s="18" t="n"/>
      <c r="D59" s="42">
        <f>IF(C59="","",IFERROR(INDEX(TenantProperty,MATCH(C59,Tenants,0)),""))</f>
        <v/>
      </c>
      <c r="E59" s="42">
        <f>IF(C59="","",IFERROR(INDEX(TenantUnit,MATCH(C59,Tenants,0)),""))</f>
        <v/>
      </c>
      <c r="F59" s="18" t="n"/>
      <c r="G59" s="18" t="n"/>
      <c r="H59" s="18" t="n"/>
      <c r="I59" s="18" t="n"/>
      <c r="J59" s="37" t="n"/>
      <c r="K59" s="37" t="n"/>
      <c r="L59" s="43">
        <f>IF(C59="","",SUMIFS($J$7:J59,$C$7:C59,C59)-SUMIFS($K$7:K59,$C$7:C59,C59))</f>
        <v/>
      </c>
      <c r="N59">
        <f>IF(AND(C59&lt;&gt;"",C59='Tenant Statement'!$C$6),COUNTIF($C$7:C59,'Tenant Statement'!$C$6),"")</f>
        <v/>
      </c>
    </row>
    <row r="60">
      <c r="B60" s="41" t="n"/>
      <c r="C60" s="18" t="n"/>
      <c r="D60" s="42">
        <f>IF(C60="","",IFERROR(INDEX(TenantProperty,MATCH(C60,Tenants,0)),""))</f>
        <v/>
      </c>
      <c r="E60" s="42">
        <f>IF(C60="","",IFERROR(INDEX(TenantUnit,MATCH(C60,Tenants,0)),""))</f>
        <v/>
      </c>
      <c r="F60" s="18" t="n"/>
      <c r="G60" s="18" t="n"/>
      <c r="H60" s="18" t="n"/>
      <c r="I60" s="18" t="n"/>
      <c r="J60" s="37" t="n"/>
      <c r="K60" s="37" t="n"/>
      <c r="L60" s="43">
        <f>IF(C60="","",SUMIFS($J$7:J60,$C$7:C60,C60)-SUMIFS($K$7:K60,$C$7:C60,C60))</f>
        <v/>
      </c>
      <c r="N60">
        <f>IF(AND(C60&lt;&gt;"",C60='Tenant Statement'!$C$6),COUNTIF($C$7:C60,'Tenant Statement'!$C$6),"")</f>
        <v/>
      </c>
    </row>
    <row r="61">
      <c r="B61" s="41" t="n"/>
      <c r="C61" s="18" t="n"/>
      <c r="D61" s="42">
        <f>IF(C61="","",IFERROR(INDEX(TenantProperty,MATCH(C61,Tenants,0)),""))</f>
        <v/>
      </c>
      <c r="E61" s="42">
        <f>IF(C61="","",IFERROR(INDEX(TenantUnit,MATCH(C61,Tenants,0)),""))</f>
        <v/>
      </c>
      <c r="F61" s="18" t="n"/>
      <c r="G61" s="18" t="n"/>
      <c r="H61" s="18" t="n"/>
      <c r="I61" s="18" t="n"/>
      <c r="J61" s="37" t="n"/>
      <c r="K61" s="37" t="n"/>
      <c r="L61" s="43">
        <f>IF(C61="","",SUMIFS($J$7:J61,$C$7:C61,C61)-SUMIFS($K$7:K61,$C$7:C61,C61))</f>
        <v/>
      </c>
      <c r="N61">
        <f>IF(AND(C61&lt;&gt;"",C61='Tenant Statement'!$C$6),COUNTIF($C$7:C61,'Tenant Statement'!$C$6),"")</f>
        <v/>
      </c>
    </row>
    <row r="62">
      <c r="B62" s="41" t="n"/>
      <c r="C62" s="18" t="n"/>
      <c r="D62" s="42">
        <f>IF(C62="","",IFERROR(INDEX(TenantProperty,MATCH(C62,Tenants,0)),""))</f>
        <v/>
      </c>
      <c r="E62" s="42">
        <f>IF(C62="","",IFERROR(INDEX(TenantUnit,MATCH(C62,Tenants,0)),""))</f>
        <v/>
      </c>
      <c r="F62" s="18" t="n"/>
      <c r="G62" s="18" t="n"/>
      <c r="H62" s="18" t="n"/>
      <c r="I62" s="18" t="n"/>
      <c r="J62" s="37" t="n"/>
      <c r="K62" s="37" t="n"/>
      <c r="L62" s="43">
        <f>IF(C62="","",SUMIFS($J$7:J62,$C$7:C62,C62)-SUMIFS($K$7:K62,$C$7:C62,C62))</f>
        <v/>
      </c>
      <c r="N62">
        <f>IF(AND(C62&lt;&gt;"",C62='Tenant Statement'!$C$6),COUNTIF($C$7:C62,'Tenant Statement'!$C$6),"")</f>
        <v/>
      </c>
    </row>
    <row r="63">
      <c r="B63" s="41" t="n"/>
      <c r="C63" s="18" t="n"/>
      <c r="D63" s="42">
        <f>IF(C63="","",IFERROR(INDEX(TenantProperty,MATCH(C63,Tenants,0)),""))</f>
        <v/>
      </c>
      <c r="E63" s="42">
        <f>IF(C63="","",IFERROR(INDEX(TenantUnit,MATCH(C63,Tenants,0)),""))</f>
        <v/>
      </c>
      <c r="F63" s="18" t="n"/>
      <c r="G63" s="18" t="n"/>
      <c r="H63" s="18" t="n"/>
      <c r="I63" s="18" t="n"/>
      <c r="J63" s="37" t="n"/>
      <c r="K63" s="37" t="n"/>
      <c r="L63" s="43">
        <f>IF(C63="","",SUMIFS($J$7:J63,$C$7:C63,C63)-SUMIFS($K$7:K63,$C$7:C63,C63))</f>
        <v/>
      </c>
      <c r="N63">
        <f>IF(AND(C63&lt;&gt;"",C63='Tenant Statement'!$C$6),COUNTIF($C$7:C63,'Tenant Statement'!$C$6),"")</f>
        <v/>
      </c>
    </row>
    <row r="64">
      <c r="B64" s="41" t="n"/>
      <c r="C64" s="18" t="n"/>
      <c r="D64" s="42">
        <f>IF(C64="","",IFERROR(INDEX(TenantProperty,MATCH(C64,Tenants,0)),""))</f>
        <v/>
      </c>
      <c r="E64" s="42">
        <f>IF(C64="","",IFERROR(INDEX(TenantUnit,MATCH(C64,Tenants,0)),""))</f>
        <v/>
      </c>
      <c r="F64" s="18" t="n"/>
      <c r="G64" s="18" t="n"/>
      <c r="H64" s="18" t="n"/>
      <c r="I64" s="18" t="n"/>
      <c r="J64" s="37" t="n"/>
      <c r="K64" s="37" t="n"/>
      <c r="L64" s="43">
        <f>IF(C64="","",SUMIFS($J$7:J64,$C$7:C64,C64)-SUMIFS($K$7:K64,$C$7:C64,C64))</f>
        <v/>
      </c>
      <c r="N64">
        <f>IF(AND(C64&lt;&gt;"",C64='Tenant Statement'!$C$6),COUNTIF($C$7:C64,'Tenant Statement'!$C$6),"")</f>
        <v/>
      </c>
    </row>
    <row r="65">
      <c r="B65" s="41" t="n"/>
      <c r="C65" s="18" t="n"/>
      <c r="D65" s="42">
        <f>IF(C65="","",IFERROR(INDEX(TenantProperty,MATCH(C65,Tenants,0)),""))</f>
        <v/>
      </c>
      <c r="E65" s="42">
        <f>IF(C65="","",IFERROR(INDEX(TenantUnit,MATCH(C65,Tenants,0)),""))</f>
        <v/>
      </c>
      <c r="F65" s="18" t="n"/>
      <c r="G65" s="18" t="n"/>
      <c r="H65" s="18" t="n"/>
      <c r="I65" s="18" t="n"/>
      <c r="J65" s="37" t="n"/>
      <c r="K65" s="37" t="n"/>
      <c r="L65" s="43">
        <f>IF(C65="","",SUMIFS($J$7:J65,$C$7:C65,C65)-SUMIFS($K$7:K65,$C$7:C65,C65))</f>
        <v/>
      </c>
      <c r="N65">
        <f>IF(AND(C65&lt;&gt;"",C65='Tenant Statement'!$C$6),COUNTIF($C$7:C65,'Tenant Statement'!$C$6),"")</f>
        <v/>
      </c>
    </row>
    <row r="66">
      <c r="B66" s="41" t="n"/>
      <c r="C66" s="18" t="n"/>
      <c r="D66" s="42">
        <f>IF(C66="","",IFERROR(INDEX(TenantProperty,MATCH(C66,Tenants,0)),""))</f>
        <v/>
      </c>
      <c r="E66" s="42">
        <f>IF(C66="","",IFERROR(INDEX(TenantUnit,MATCH(C66,Tenants,0)),""))</f>
        <v/>
      </c>
      <c r="F66" s="18" t="n"/>
      <c r="G66" s="18" t="n"/>
      <c r="H66" s="18" t="n"/>
      <c r="I66" s="18" t="n"/>
      <c r="J66" s="37" t="n"/>
      <c r="K66" s="37" t="n"/>
      <c r="L66" s="43">
        <f>IF(C66="","",SUMIFS($J$7:J66,$C$7:C66,C66)-SUMIFS($K$7:K66,$C$7:C66,C66))</f>
        <v/>
      </c>
      <c r="N66">
        <f>IF(AND(C66&lt;&gt;"",C66='Tenant Statement'!$C$6),COUNTIF($C$7:C66,'Tenant Statement'!$C$6),"")</f>
        <v/>
      </c>
    </row>
    <row r="67">
      <c r="B67" s="41" t="n"/>
      <c r="C67" s="18" t="n"/>
      <c r="D67" s="42">
        <f>IF(C67="","",IFERROR(INDEX(TenantProperty,MATCH(C67,Tenants,0)),""))</f>
        <v/>
      </c>
      <c r="E67" s="42">
        <f>IF(C67="","",IFERROR(INDEX(TenantUnit,MATCH(C67,Tenants,0)),""))</f>
        <v/>
      </c>
      <c r="F67" s="18" t="n"/>
      <c r="G67" s="18" t="n"/>
      <c r="H67" s="18" t="n"/>
      <c r="I67" s="18" t="n"/>
      <c r="J67" s="37" t="n"/>
      <c r="K67" s="37" t="n"/>
      <c r="L67" s="43">
        <f>IF(C67="","",SUMIFS($J$7:J67,$C$7:C67,C67)-SUMIFS($K$7:K67,$C$7:C67,C67))</f>
        <v/>
      </c>
      <c r="N67">
        <f>IF(AND(C67&lt;&gt;"",C67='Tenant Statement'!$C$6),COUNTIF($C$7:C67,'Tenant Statement'!$C$6),"")</f>
        <v/>
      </c>
    </row>
    <row r="68">
      <c r="B68" s="41" t="n"/>
      <c r="C68" s="18" t="n"/>
      <c r="D68" s="42">
        <f>IF(C68="","",IFERROR(INDEX(TenantProperty,MATCH(C68,Tenants,0)),""))</f>
        <v/>
      </c>
      <c r="E68" s="42">
        <f>IF(C68="","",IFERROR(INDEX(TenantUnit,MATCH(C68,Tenants,0)),""))</f>
        <v/>
      </c>
      <c r="F68" s="18" t="n"/>
      <c r="G68" s="18" t="n"/>
      <c r="H68" s="18" t="n"/>
      <c r="I68" s="18" t="n"/>
      <c r="J68" s="37" t="n"/>
      <c r="K68" s="37" t="n"/>
      <c r="L68" s="43">
        <f>IF(C68="","",SUMIFS($J$7:J68,$C$7:C68,C68)-SUMIFS($K$7:K68,$C$7:C68,C68))</f>
        <v/>
      </c>
      <c r="N68">
        <f>IF(AND(C68&lt;&gt;"",C68='Tenant Statement'!$C$6),COUNTIF($C$7:C68,'Tenant Statement'!$C$6),"")</f>
        <v/>
      </c>
    </row>
    <row r="69">
      <c r="B69" s="41" t="n"/>
      <c r="C69" s="18" t="n"/>
      <c r="D69" s="42">
        <f>IF(C69="","",IFERROR(INDEX(TenantProperty,MATCH(C69,Tenants,0)),""))</f>
        <v/>
      </c>
      <c r="E69" s="42">
        <f>IF(C69="","",IFERROR(INDEX(TenantUnit,MATCH(C69,Tenants,0)),""))</f>
        <v/>
      </c>
      <c r="F69" s="18" t="n"/>
      <c r="G69" s="18" t="n"/>
      <c r="H69" s="18" t="n"/>
      <c r="I69" s="18" t="n"/>
      <c r="J69" s="37" t="n"/>
      <c r="K69" s="37" t="n"/>
      <c r="L69" s="43">
        <f>IF(C69="","",SUMIFS($J$7:J69,$C$7:C69,C69)-SUMIFS($K$7:K69,$C$7:C69,C69))</f>
        <v/>
      </c>
      <c r="N69">
        <f>IF(AND(C69&lt;&gt;"",C69='Tenant Statement'!$C$6),COUNTIF($C$7:C69,'Tenant Statement'!$C$6),"")</f>
        <v/>
      </c>
    </row>
    <row r="70">
      <c r="B70" s="41" t="n"/>
      <c r="C70" s="18" t="n"/>
      <c r="D70" s="42">
        <f>IF(C70="","",IFERROR(INDEX(TenantProperty,MATCH(C70,Tenants,0)),""))</f>
        <v/>
      </c>
      <c r="E70" s="42">
        <f>IF(C70="","",IFERROR(INDEX(TenantUnit,MATCH(C70,Tenants,0)),""))</f>
        <v/>
      </c>
      <c r="F70" s="18" t="n"/>
      <c r="G70" s="18" t="n"/>
      <c r="H70" s="18" t="n"/>
      <c r="I70" s="18" t="n"/>
      <c r="J70" s="37" t="n"/>
      <c r="K70" s="37" t="n"/>
      <c r="L70" s="43">
        <f>IF(C70="","",SUMIFS($J$7:J70,$C$7:C70,C70)-SUMIFS($K$7:K70,$C$7:C70,C70))</f>
        <v/>
      </c>
      <c r="N70">
        <f>IF(AND(C70&lt;&gt;"",C70='Tenant Statement'!$C$6),COUNTIF($C$7:C70,'Tenant Statement'!$C$6),"")</f>
        <v/>
      </c>
    </row>
    <row r="71">
      <c r="B71" s="41" t="n"/>
      <c r="C71" s="18" t="n"/>
      <c r="D71" s="42">
        <f>IF(C71="","",IFERROR(INDEX(TenantProperty,MATCH(C71,Tenants,0)),""))</f>
        <v/>
      </c>
      <c r="E71" s="42">
        <f>IF(C71="","",IFERROR(INDEX(TenantUnit,MATCH(C71,Tenants,0)),""))</f>
        <v/>
      </c>
      <c r="F71" s="18" t="n"/>
      <c r="G71" s="18" t="n"/>
      <c r="H71" s="18" t="n"/>
      <c r="I71" s="18" t="n"/>
      <c r="J71" s="37" t="n"/>
      <c r="K71" s="37" t="n"/>
      <c r="L71" s="43">
        <f>IF(C71="","",SUMIFS($J$7:J71,$C$7:C71,C71)-SUMIFS($K$7:K71,$C$7:C71,C71))</f>
        <v/>
      </c>
      <c r="N71">
        <f>IF(AND(C71&lt;&gt;"",C71='Tenant Statement'!$C$6),COUNTIF($C$7:C71,'Tenant Statement'!$C$6),"")</f>
        <v/>
      </c>
    </row>
    <row r="72">
      <c r="B72" s="41" t="n"/>
      <c r="C72" s="18" t="n"/>
      <c r="D72" s="42">
        <f>IF(C72="","",IFERROR(INDEX(TenantProperty,MATCH(C72,Tenants,0)),""))</f>
        <v/>
      </c>
      <c r="E72" s="42">
        <f>IF(C72="","",IFERROR(INDEX(TenantUnit,MATCH(C72,Tenants,0)),""))</f>
        <v/>
      </c>
      <c r="F72" s="18" t="n"/>
      <c r="G72" s="18" t="n"/>
      <c r="H72" s="18" t="n"/>
      <c r="I72" s="18" t="n"/>
      <c r="J72" s="37" t="n"/>
      <c r="K72" s="37" t="n"/>
      <c r="L72" s="43">
        <f>IF(C72="","",SUMIFS($J$7:J72,$C$7:C72,C72)-SUMIFS($K$7:K72,$C$7:C72,C72))</f>
        <v/>
      </c>
      <c r="N72">
        <f>IF(AND(C72&lt;&gt;"",C72='Tenant Statement'!$C$6),COUNTIF($C$7:C72,'Tenant Statement'!$C$6),"")</f>
        <v/>
      </c>
    </row>
    <row r="73">
      <c r="B73" s="41" t="n"/>
      <c r="C73" s="18" t="n"/>
      <c r="D73" s="42">
        <f>IF(C73="","",IFERROR(INDEX(TenantProperty,MATCH(C73,Tenants,0)),""))</f>
        <v/>
      </c>
      <c r="E73" s="42">
        <f>IF(C73="","",IFERROR(INDEX(TenantUnit,MATCH(C73,Tenants,0)),""))</f>
        <v/>
      </c>
      <c r="F73" s="18" t="n"/>
      <c r="G73" s="18" t="n"/>
      <c r="H73" s="18" t="n"/>
      <c r="I73" s="18" t="n"/>
      <c r="J73" s="37" t="n"/>
      <c r="K73" s="37" t="n"/>
      <c r="L73" s="43">
        <f>IF(C73="","",SUMIFS($J$7:J73,$C$7:C73,C73)-SUMIFS($K$7:K73,$C$7:C73,C73))</f>
        <v/>
      </c>
      <c r="N73">
        <f>IF(AND(C73&lt;&gt;"",C73='Tenant Statement'!$C$6),COUNTIF($C$7:C73,'Tenant Statement'!$C$6),"")</f>
        <v/>
      </c>
    </row>
    <row r="74">
      <c r="B74" s="41" t="n"/>
      <c r="C74" s="18" t="n"/>
      <c r="D74" s="42">
        <f>IF(C74="","",IFERROR(INDEX(TenantProperty,MATCH(C74,Tenants,0)),""))</f>
        <v/>
      </c>
      <c r="E74" s="42">
        <f>IF(C74="","",IFERROR(INDEX(TenantUnit,MATCH(C74,Tenants,0)),""))</f>
        <v/>
      </c>
      <c r="F74" s="18" t="n"/>
      <c r="G74" s="18" t="n"/>
      <c r="H74" s="18" t="n"/>
      <c r="I74" s="18" t="n"/>
      <c r="J74" s="37" t="n"/>
      <c r="K74" s="37" t="n"/>
      <c r="L74" s="43">
        <f>IF(C74="","",SUMIFS($J$7:J74,$C$7:C74,C74)-SUMIFS($K$7:K74,$C$7:C74,C74))</f>
        <v/>
      </c>
      <c r="N74">
        <f>IF(AND(C74&lt;&gt;"",C74='Tenant Statement'!$C$6),COUNTIF($C$7:C74,'Tenant Statement'!$C$6),"")</f>
        <v/>
      </c>
    </row>
    <row r="75">
      <c r="B75" s="41" t="n"/>
      <c r="C75" s="18" t="n"/>
      <c r="D75" s="42">
        <f>IF(C75="","",IFERROR(INDEX(TenantProperty,MATCH(C75,Tenants,0)),""))</f>
        <v/>
      </c>
      <c r="E75" s="42">
        <f>IF(C75="","",IFERROR(INDEX(TenantUnit,MATCH(C75,Tenants,0)),""))</f>
        <v/>
      </c>
      <c r="F75" s="18" t="n"/>
      <c r="G75" s="18" t="n"/>
      <c r="H75" s="18" t="n"/>
      <c r="I75" s="18" t="n"/>
      <c r="J75" s="37" t="n"/>
      <c r="K75" s="37" t="n"/>
      <c r="L75" s="43">
        <f>IF(C75="","",SUMIFS($J$7:J75,$C$7:C75,C75)-SUMIFS($K$7:K75,$C$7:C75,C75))</f>
        <v/>
      </c>
      <c r="N75">
        <f>IF(AND(C75&lt;&gt;"",C75='Tenant Statement'!$C$6),COUNTIF($C$7:C75,'Tenant Statement'!$C$6),"")</f>
        <v/>
      </c>
    </row>
    <row r="76">
      <c r="B76" s="41" t="n"/>
      <c r="C76" s="18" t="n"/>
      <c r="D76" s="42">
        <f>IF(C76="","",IFERROR(INDEX(TenantProperty,MATCH(C76,Tenants,0)),""))</f>
        <v/>
      </c>
      <c r="E76" s="42">
        <f>IF(C76="","",IFERROR(INDEX(TenantUnit,MATCH(C76,Tenants,0)),""))</f>
        <v/>
      </c>
      <c r="F76" s="18" t="n"/>
      <c r="G76" s="18" t="n"/>
      <c r="H76" s="18" t="n"/>
      <c r="I76" s="18" t="n"/>
      <c r="J76" s="37" t="n"/>
      <c r="K76" s="37" t="n"/>
      <c r="L76" s="43">
        <f>IF(C76="","",SUMIFS($J$7:J76,$C$7:C76,C76)-SUMIFS($K$7:K76,$C$7:C76,C76))</f>
        <v/>
      </c>
      <c r="N76">
        <f>IF(AND(C76&lt;&gt;"",C76='Tenant Statement'!$C$6),COUNTIF($C$7:C76,'Tenant Statement'!$C$6),"")</f>
        <v/>
      </c>
    </row>
    <row r="77">
      <c r="B77" s="41" t="n"/>
      <c r="C77" s="18" t="n"/>
      <c r="D77" s="42">
        <f>IF(C77="","",IFERROR(INDEX(TenantProperty,MATCH(C77,Tenants,0)),""))</f>
        <v/>
      </c>
      <c r="E77" s="42">
        <f>IF(C77="","",IFERROR(INDEX(TenantUnit,MATCH(C77,Tenants,0)),""))</f>
        <v/>
      </c>
      <c r="F77" s="18" t="n"/>
      <c r="G77" s="18" t="n"/>
      <c r="H77" s="18" t="n"/>
      <c r="I77" s="18" t="n"/>
      <c r="J77" s="37" t="n"/>
      <c r="K77" s="37" t="n"/>
      <c r="L77" s="43">
        <f>IF(C77="","",SUMIFS($J$7:J77,$C$7:C77,C77)-SUMIFS($K$7:K77,$C$7:C77,C77))</f>
        <v/>
      </c>
      <c r="N77">
        <f>IF(AND(C77&lt;&gt;"",C77='Tenant Statement'!$C$6),COUNTIF($C$7:C77,'Tenant Statement'!$C$6),"")</f>
        <v/>
      </c>
    </row>
    <row r="78">
      <c r="B78" s="41" t="n"/>
      <c r="C78" s="18" t="n"/>
      <c r="D78" s="42">
        <f>IF(C78="","",IFERROR(INDEX(TenantProperty,MATCH(C78,Tenants,0)),""))</f>
        <v/>
      </c>
      <c r="E78" s="42">
        <f>IF(C78="","",IFERROR(INDEX(TenantUnit,MATCH(C78,Tenants,0)),""))</f>
        <v/>
      </c>
      <c r="F78" s="18" t="n"/>
      <c r="G78" s="18" t="n"/>
      <c r="H78" s="18" t="n"/>
      <c r="I78" s="18" t="n"/>
      <c r="J78" s="37" t="n"/>
      <c r="K78" s="37" t="n"/>
      <c r="L78" s="43">
        <f>IF(C78="","",SUMIFS($J$7:J78,$C$7:C78,C78)-SUMIFS($K$7:K78,$C$7:C78,C78))</f>
        <v/>
      </c>
      <c r="N78">
        <f>IF(AND(C78&lt;&gt;"",C78='Tenant Statement'!$C$6),COUNTIF($C$7:C78,'Tenant Statement'!$C$6),"")</f>
        <v/>
      </c>
    </row>
    <row r="79">
      <c r="B79" s="41" t="n"/>
      <c r="C79" s="18" t="n"/>
      <c r="D79" s="42">
        <f>IF(C79="","",IFERROR(INDEX(TenantProperty,MATCH(C79,Tenants,0)),""))</f>
        <v/>
      </c>
      <c r="E79" s="42">
        <f>IF(C79="","",IFERROR(INDEX(TenantUnit,MATCH(C79,Tenants,0)),""))</f>
        <v/>
      </c>
      <c r="F79" s="18" t="n"/>
      <c r="G79" s="18" t="n"/>
      <c r="H79" s="18" t="n"/>
      <c r="I79" s="18" t="n"/>
      <c r="J79" s="37" t="n"/>
      <c r="K79" s="37" t="n"/>
      <c r="L79" s="43">
        <f>IF(C79="","",SUMIFS($J$7:J79,$C$7:C79,C79)-SUMIFS($K$7:K79,$C$7:C79,C79))</f>
        <v/>
      </c>
      <c r="N79">
        <f>IF(AND(C79&lt;&gt;"",C79='Tenant Statement'!$C$6),COUNTIF($C$7:C79,'Tenant Statement'!$C$6),"")</f>
        <v/>
      </c>
    </row>
    <row r="80">
      <c r="B80" s="41" t="n"/>
      <c r="C80" s="18" t="n"/>
      <c r="D80" s="42">
        <f>IF(C80="","",IFERROR(INDEX(TenantProperty,MATCH(C80,Tenants,0)),""))</f>
        <v/>
      </c>
      <c r="E80" s="42">
        <f>IF(C80="","",IFERROR(INDEX(TenantUnit,MATCH(C80,Tenants,0)),""))</f>
        <v/>
      </c>
      <c r="F80" s="18" t="n"/>
      <c r="G80" s="18" t="n"/>
      <c r="H80" s="18" t="n"/>
      <c r="I80" s="18" t="n"/>
      <c r="J80" s="37" t="n"/>
      <c r="K80" s="37" t="n"/>
      <c r="L80" s="43">
        <f>IF(C80="","",SUMIFS($J$7:J80,$C$7:C80,C80)-SUMIFS($K$7:K80,$C$7:C80,C80))</f>
        <v/>
      </c>
      <c r="N80">
        <f>IF(AND(C80&lt;&gt;"",C80='Tenant Statement'!$C$6),COUNTIF($C$7:C80,'Tenant Statement'!$C$6),"")</f>
        <v/>
      </c>
    </row>
    <row r="81">
      <c r="B81" s="41" t="n"/>
      <c r="C81" s="18" t="n"/>
      <c r="D81" s="42">
        <f>IF(C81="","",IFERROR(INDEX(TenantProperty,MATCH(C81,Tenants,0)),""))</f>
        <v/>
      </c>
      <c r="E81" s="42">
        <f>IF(C81="","",IFERROR(INDEX(TenantUnit,MATCH(C81,Tenants,0)),""))</f>
        <v/>
      </c>
      <c r="F81" s="18" t="n"/>
      <c r="G81" s="18" t="n"/>
      <c r="H81" s="18" t="n"/>
      <c r="I81" s="18" t="n"/>
      <c r="J81" s="37" t="n"/>
      <c r="K81" s="37" t="n"/>
      <c r="L81" s="43">
        <f>IF(C81="","",SUMIFS($J$7:J81,$C$7:C81,C81)-SUMIFS($K$7:K81,$C$7:C81,C81))</f>
        <v/>
      </c>
      <c r="N81">
        <f>IF(AND(C81&lt;&gt;"",C81='Tenant Statement'!$C$6),COUNTIF($C$7:C81,'Tenant Statement'!$C$6),"")</f>
        <v/>
      </c>
    </row>
    <row r="82">
      <c r="B82" s="41" t="n"/>
      <c r="C82" s="18" t="n"/>
      <c r="D82" s="42">
        <f>IF(C82="","",IFERROR(INDEX(TenantProperty,MATCH(C82,Tenants,0)),""))</f>
        <v/>
      </c>
      <c r="E82" s="42">
        <f>IF(C82="","",IFERROR(INDEX(TenantUnit,MATCH(C82,Tenants,0)),""))</f>
        <v/>
      </c>
      <c r="F82" s="18" t="n"/>
      <c r="G82" s="18" t="n"/>
      <c r="H82" s="18" t="n"/>
      <c r="I82" s="18" t="n"/>
      <c r="J82" s="37" t="n"/>
      <c r="K82" s="37" t="n"/>
      <c r="L82" s="43">
        <f>IF(C82="","",SUMIFS($J$7:J82,$C$7:C82,C82)-SUMIFS($K$7:K82,$C$7:C82,C82))</f>
        <v/>
      </c>
      <c r="N82">
        <f>IF(AND(C82&lt;&gt;"",C82='Tenant Statement'!$C$6),COUNTIF($C$7:C82,'Tenant Statement'!$C$6),"")</f>
        <v/>
      </c>
    </row>
    <row r="83">
      <c r="B83" s="41" t="n"/>
      <c r="C83" s="18" t="n"/>
      <c r="D83" s="42">
        <f>IF(C83="","",IFERROR(INDEX(TenantProperty,MATCH(C83,Tenants,0)),""))</f>
        <v/>
      </c>
      <c r="E83" s="42">
        <f>IF(C83="","",IFERROR(INDEX(TenantUnit,MATCH(C83,Tenants,0)),""))</f>
        <v/>
      </c>
      <c r="F83" s="18" t="n"/>
      <c r="G83" s="18" t="n"/>
      <c r="H83" s="18" t="n"/>
      <c r="I83" s="18" t="n"/>
      <c r="J83" s="37" t="n"/>
      <c r="K83" s="37" t="n"/>
      <c r="L83" s="43">
        <f>IF(C83="","",SUMIFS($J$7:J83,$C$7:C83,C83)-SUMIFS($K$7:K83,$C$7:C83,C83))</f>
        <v/>
      </c>
      <c r="N83">
        <f>IF(AND(C83&lt;&gt;"",C83='Tenant Statement'!$C$6),COUNTIF($C$7:C83,'Tenant Statement'!$C$6),"")</f>
        <v/>
      </c>
    </row>
    <row r="84">
      <c r="B84" s="41" t="n"/>
      <c r="C84" s="18" t="n"/>
      <c r="D84" s="42">
        <f>IF(C84="","",IFERROR(INDEX(TenantProperty,MATCH(C84,Tenants,0)),""))</f>
        <v/>
      </c>
      <c r="E84" s="42">
        <f>IF(C84="","",IFERROR(INDEX(TenantUnit,MATCH(C84,Tenants,0)),""))</f>
        <v/>
      </c>
      <c r="F84" s="18" t="n"/>
      <c r="G84" s="18" t="n"/>
      <c r="H84" s="18" t="n"/>
      <c r="I84" s="18" t="n"/>
      <c r="J84" s="37" t="n"/>
      <c r="K84" s="37" t="n"/>
      <c r="L84" s="43">
        <f>IF(C84="","",SUMIFS($J$7:J84,$C$7:C84,C84)-SUMIFS($K$7:K84,$C$7:C84,C84))</f>
        <v/>
      </c>
      <c r="N84">
        <f>IF(AND(C84&lt;&gt;"",C84='Tenant Statement'!$C$6),COUNTIF($C$7:C84,'Tenant Statement'!$C$6),"")</f>
        <v/>
      </c>
    </row>
    <row r="85">
      <c r="B85" s="41" t="n"/>
      <c r="C85" s="18" t="n"/>
      <c r="D85" s="42">
        <f>IF(C85="","",IFERROR(INDEX(TenantProperty,MATCH(C85,Tenants,0)),""))</f>
        <v/>
      </c>
      <c r="E85" s="42">
        <f>IF(C85="","",IFERROR(INDEX(TenantUnit,MATCH(C85,Tenants,0)),""))</f>
        <v/>
      </c>
      <c r="F85" s="18" t="n"/>
      <c r="G85" s="18" t="n"/>
      <c r="H85" s="18" t="n"/>
      <c r="I85" s="18" t="n"/>
      <c r="J85" s="37" t="n"/>
      <c r="K85" s="37" t="n"/>
      <c r="L85" s="43">
        <f>IF(C85="","",SUMIFS($J$7:J85,$C$7:C85,C85)-SUMIFS($K$7:K85,$C$7:C85,C85))</f>
        <v/>
      </c>
      <c r="N85">
        <f>IF(AND(C85&lt;&gt;"",C85='Tenant Statement'!$C$6),COUNTIF($C$7:C85,'Tenant Statement'!$C$6),"")</f>
        <v/>
      </c>
    </row>
    <row r="86">
      <c r="B86" s="41" t="n"/>
      <c r="C86" s="18" t="n"/>
      <c r="D86" s="42">
        <f>IF(C86="","",IFERROR(INDEX(TenantProperty,MATCH(C86,Tenants,0)),""))</f>
        <v/>
      </c>
      <c r="E86" s="42">
        <f>IF(C86="","",IFERROR(INDEX(TenantUnit,MATCH(C86,Tenants,0)),""))</f>
        <v/>
      </c>
      <c r="F86" s="18" t="n"/>
      <c r="G86" s="18" t="n"/>
      <c r="H86" s="18" t="n"/>
      <c r="I86" s="18" t="n"/>
      <c r="J86" s="37" t="n"/>
      <c r="K86" s="37" t="n"/>
      <c r="L86" s="43">
        <f>IF(C86="","",SUMIFS($J$7:J86,$C$7:C86,C86)-SUMIFS($K$7:K86,$C$7:C86,C86))</f>
        <v/>
      </c>
      <c r="N86">
        <f>IF(AND(C86&lt;&gt;"",C86='Tenant Statement'!$C$6),COUNTIF($C$7:C86,'Tenant Statement'!$C$6),"")</f>
        <v/>
      </c>
    </row>
    <row r="87">
      <c r="B87" s="41" t="n"/>
      <c r="C87" s="18" t="n"/>
      <c r="D87" s="42">
        <f>IF(C87="","",IFERROR(INDEX(TenantProperty,MATCH(C87,Tenants,0)),""))</f>
        <v/>
      </c>
      <c r="E87" s="42">
        <f>IF(C87="","",IFERROR(INDEX(TenantUnit,MATCH(C87,Tenants,0)),""))</f>
        <v/>
      </c>
      <c r="F87" s="18" t="n"/>
      <c r="G87" s="18" t="n"/>
      <c r="H87" s="18" t="n"/>
      <c r="I87" s="18" t="n"/>
      <c r="J87" s="37" t="n"/>
      <c r="K87" s="37" t="n"/>
      <c r="L87" s="43">
        <f>IF(C87="","",SUMIFS($J$7:J87,$C$7:C87,C87)-SUMIFS($K$7:K87,$C$7:C87,C87))</f>
        <v/>
      </c>
      <c r="N87">
        <f>IF(AND(C87&lt;&gt;"",C87='Tenant Statement'!$C$6),COUNTIF($C$7:C87,'Tenant Statement'!$C$6),"")</f>
        <v/>
      </c>
    </row>
    <row r="88">
      <c r="B88" s="41" t="n"/>
      <c r="C88" s="18" t="n"/>
      <c r="D88" s="42">
        <f>IF(C88="","",IFERROR(INDEX(TenantProperty,MATCH(C88,Tenants,0)),""))</f>
        <v/>
      </c>
      <c r="E88" s="42">
        <f>IF(C88="","",IFERROR(INDEX(TenantUnit,MATCH(C88,Tenants,0)),""))</f>
        <v/>
      </c>
      <c r="F88" s="18" t="n"/>
      <c r="G88" s="18" t="n"/>
      <c r="H88" s="18" t="n"/>
      <c r="I88" s="18" t="n"/>
      <c r="J88" s="37" t="n"/>
      <c r="K88" s="37" t="n"/>
      <c r="L88" s="43">
        <f>IF(C88="","",SUMIFS($J$7:J88,$C$7:C88,C88)-SUMIFS($K$7:K88,$C$7:C88,C88))</f>
        <v/>
      </c>
      <c r="N88">
        <f>IF(AND(C88&lt;&gt;"",C88='Tenant Statement'!$C$6),COUNTIF($C$7:C88,'Tenant Statement'!$C$6),"")</f>
        <v/>
      </c>
    </row>
    <row r="89">
      <c r="B89" s="41" t="n"/>
      <c r="C89" s="18" t="n"/>
      <c r="D89" s="42">
        <f>IF(C89="","",IFERROR(INDEX(TenantProperty,MATCH(C89,Tenants,0)),""))</f>
        <v/>
      </c>
      <c r="E89" s="42">
        <f>IF(C89="","",IFERROR(INDEX(TenantUnit,MATCH(C89,Tenants,0)),""))</f>
        <v/>
      </c>
      <c r="F89" s="18" t="n"/>
      <c r="G89" s="18" t="n"/>
      <c r="H89" s="18" t="n"/>
      <c r="I89" s="18" t="n"/>
      <c r="J89" s="37" t="n"/>
      <c r="K89" s="37" t="n"/>
      <c r="L89" s="43">
        <f>IF(C89="","",SUMIFS($J$7:J89,$C$7:C89,C89)-SUMIFS($K$7:K89,$C$7:C89,C89))</f>
        <v/>
      </c>
      <c r="N89">
        <f>IF(AND(C89&lt;&gt;"",C89='Tenant Statement'!$C$6),COUNTIF($C$7:C89,'Tenant Statement'!$C$6),"")</f>
        <v/>
      </c>
    </row>
    <row r="90">
      <c r="B90" s="41" t="n"/>
      <c r="C90" s="18" t="n"/>
      <c r="D90" s="42">
        <f>IF(C90="","",IFERROR(INDEX(TenantProperty,MATCH(C90,Tenants,0)),""))</f>
        <v/>
      </c>
      <c r="E90" s="42">
        <f>IF(C90="","",IFERROR(INDEX(TenantUnit,MATCH(C90,Tenants,0)),""))</f>
        <v/>
      </c>
      <c r="F90" s="18" t="n"/>
      <c r="G90" s="18" t="n"/>
      <c r="H90" s="18" t="n"/>
      <c r="I90" s="18" t="n"/>
      <c r="J90" s="37" t="n"/>
      <c r="K90" s="37" t="n"/>
      <c r="L90" s="43">
        <f>IF(C90="","",SUMIFS($J$7:J90,$C$7:C90,C90)-SUMIFS($K$7:K90,$C$7:C90,C90))</f>
        <v/>
      </c>
      <c r="N90">
        <f>IF(AND(C90&lt;&gt;"",C90='Tenant Statement'!$C$6),COUNTIF($C$7:C90,'Tenant Statement'!$C$6),"")</f>
        <v/>
      </c>
    </row>
    <row r="91">
      <c r="B91" s="41" t="n"/>
      <c r="C91" s="18" t="n"/>
      <c r="D91" s="42">
        <f>IF(C91="","",IFERROR(INDEX(TenantProperty,MATCH(C91,Tenants,0)),""))</f>
        <v/>
      </c>
      <c r="E91" s="42">
        <f>IF(C91="","",IFERROR(INDEX(TenantUnit,MATCH(C91,Tenants,0)),""))</f>
        <v/>
      </c>
      <c r="F91" s="18" t="n"/>
      <c r="G91" s="18" t="n"/>
      <c r="H91" s="18" t="n"/>
      <c r="I91" s="18" t="n"/>
      <c r="J91" s="37" t="n"/>
      <c r="K91" s="37" t="n"/>
      <c r="L91" s="43">
        <f>IF(C91="","",SUMIFS($J$7:J91,$C$7:C91,C91)-SUMIFS($K$7:K91,$C$7:C91,C91))</f>
        <v/>
      </c>
      <c r="N91">
        <f>IF(AND(C91&lt;&gt;"",C91='Tenant Statement'!$C$6),COUNTIF($C$7:C91,'Tenant Statement'!$C$6),"")</f>
        <v/>
      </c>
    </row>
    <row r="92">
      <c r="B92" s="41" t="n"/>
      <c r="C92" s="18" t="n"/>
      <c r="D92" s="42">
        <f>IF(C92="","",IFERROR(INDEX(TenantProperty,MATCH(C92,Tenants,0)),""))</f>
        <v/>
      </c>
      <c r="E92" s="42">
        <f>IF(C92="","",IFERROR(INDEX(TenantUnit,MATCH(C92,Tenants,0)),""))</f>
        <v/>
      </c>
      <c r="F92" s="18" t="n"/>
      <c r="G92" s="18" t="n"/>
      <c r="H92" s="18" t="n"/>
      <c r="I92" s="18" t="n"/>
      <c r="J92" s="37" t="n"/>
      <c r="K92" s="37" t="n"/>
      <c r="L92" s="43">
        <f>IF(C92="","",SUMIFS($J$7:J92,$C$7:C92,C92)-SUMIFS($K$7:K92,$C$7:C92,C92))</f>
        <v/>
      </c>
      <c r="N92">
        <f>IF(AND(C92&lt;&gt;"",C92='Tenant Statement'!$C$6),COUNTIF($C$7:C92,'Tenant Statement'!$C$6),"")</f>
        <v/>
      </c>
    </row>
    <row r="93">
      <c r="B93" s="41" t="n"/>
      <c r="C93" s="18" t="n"/>
      <c r="D93" s="42">
        <f>IF(C93="","",IFERROR(INDEX(TenantProperty,MATCH(C93,Tenants,0)),""))</f>
        <v/>
      </c>
      <c r="E93" s="42">
        <f>IF(C93="","",IFERROR(INDEX(TenantUnit,MATCH(C93,Tenants,0)),""))</f>
        <v/>
      </c>
      <c r="F93" s="18" t="n"/>
      <c r="G93" s="18" t="n"/>
      <c r="H93" s="18" t="n"/>
      <c r="I93" s="18" t="n"/>
      <c r="J93" s="37" t="n"/>
      <c r="K93" s="37" t="n"/>
      <c r="L93" s="43">
        <f>IF(C93="","",SUMIFS($J$7:J93,$C$7:C93,C93)-SUMIFS($K$7:K93,$C$7:C93,C93))</f>
        <v/>
      </c>
      <c r="N93">
        <f>IF(AND(C93&lt;&gt;"",C93='Tenant Statement'!$C$6),COUNTIF($C$7:C93,'Tenant Statement'!$C$6),"")</f>
        <v/>
      </c>
    </row>
    <row r="94">
      <c r="B94" s="41" t="n"/>
      <c r="C94" s="18" t="n"/>
      <c r="D94" s="42">
        <f>IF(C94="","",IFERROR(INDEX(TenantProperty,MATCH(C94,Tenants,0)),""))</f>
        <v/>
      </c>
      <c r="E94" s="42">
        <f>IF(C94="","",IFERROR(INDEX(TenantUnit,MATCH(C94,Tenants,0)),""))</f>
        <v/>
      </c>
      <c r="F94" s="18" t="n"/>
      <c r="G94" s="18" t="n"/>
      <c r="H94" s="18" t="n"/>
      <c r="I94" s="18" t="n"/>
      <c r="J94" s="37" t="n"/>
      <c r="K94" s="37" t="n"/>
      <c r="L94" s="43">
        <f>IF(C94="","",SUMIFS($J$7:J94,$C$7:C94,C94)-SUMIFS($K$7:K94,$C$7:C94,C94))</f>
        <v/>
      </c>
      <c r="N94">
        <f>IF(AND(C94&lt;&gt;"",C94='Tenant Statement'!$C$6),COUNTIF($C$7:C94,'Tenant Statement'!$C$6),"")</f>
        <v/>
      </c>
    </row>
    <row r="95">
      <c r="B95" s="41" t="n"/>
      <c r="C95" s="18" t="n"/>
      <c r="D95" s="42">
        <f>IF(C95="","",IFERROR(INDEX(TenantProperty,MATCH(C95,Tenants,0)),""))</f>
        <v/>
      </c>
      <c r="E95" s="42">
        <f>IF(C95="","",IFERROR(INDEX(TenantUnit,MATCH(C95,Tenants,0)),""))</f>
        <v/>
      </c>
      <c r="F95" s="18" t="n"/>
      <c r="G95" s="18" t="n"/>
      <c r="H95" s="18" t="n"/>
      <c r="I95" s="18" t="n"/>
      <c r="J95" s="37" t="n"/>
      <c r="K95" s="37" t="n"/>
      <c r="L95" s="43">
        <f>IF(C95="","",SUMIFS($J$7:J95,$C$7:C95,C95)-SUMIFS($K$7:K95,$C$7:C95,C95))</f>
        <v/>
      </c>
      <c r="N95">
        <f>IF(AND(C95&lt;&gt;"",C95='Tenant Statement'!$C$6),COUNTIF($C$7:C95,'Tenant Statement'!$C$6),"")</f>
        <v/>
      </c>
    </row>
    <row r="96">
      <c r="B96" s="41" t="n"/>
      <c r="C96" s="18" t="n"/>
      <c r="D96" s="42">
        <f>IF(C96="","",IFERROR(INDEX(TenantProperty,MATCH(C96,Tenants,0)),""))</f>
        <v/>
      </c>
      <c r="E96" s="42">
        <f>IF(C96="","",IFERROR(INDEX(TenantUnit,MATCH(C96,Tenants,0)),""))</f>
        <v/>
      </c>
      <c r="F96" s="18" t="n"/>
      <c r="G96" s="18" t="n"/>
      <c r="H96" s="18" t="n"/>
      <c r="I96" s="18" t="n"/>
      <c r="J96" s="37" t="n"/>
      <c r="K96" s="37" t="n"/>
      <c r="L96" s="43">
        <f>IF(C96="","",SUMIFS($J$7:J96,$C$7:C96,C96)-SUMIFS($K$7:K96,$C$7:C96,C96))</f>
        <v/>
      </c>
      <c r="N96">
        <f>IF(AND(C96&lt;&gt;"",C96='Tenant Statement'!$C$6),COUNTIF($C$7:C96,'Tenant Statement'!$C$6),"")</f>
        <v/>
      </c>
    </row>
    <row r="97">
      <c r="B97" s="41" t="n"/>
      <c r="C97" s="18" t="n"/>
      <c r="D97" s="42">
        <f>IF(C97="","",IFERROR(INDEX(TenantProperty,MATCH(C97,Tenants,0)),""))</f>
        <v/>
      </c>
      <c r="E97" s="42">
        <f>IF(C97="","",IFERROR(INDEX(TenantUnit,MATCH(C97,Tenants,0)),""))</f>
        <v/>
      </c>
      <c r="F97" s="18" t="n"/>
      <c r="G97" s="18" t="n"/>
      <c r="H97" s="18" t="n"/>
      <c r="I97" s="18" t="n"/>
      <c r="J97" s="37" t="n"/>
      <c r="K97" s="37" t="n"/>
      <c r="L97" s="43">
        <f>IF(C97="","",SUMIFS($J$7:J97,$C$7:C97,C97)-SUMIFS($K$7:K97,$C$7:C97,C97))</f>
        <v/>
      </c>
      <c r="N97">
        <f>IF(AND(C97&lt;&gt;"",C97='Tenant Statement'!$C$6),COUNTIF($C$7:C97,'Tenant Statement'!$C$6),"")</f>
        <v/>
      </c>
    </row>
    <row r="98">
      <c r="B98" s="41" t="n"/>
      <c r="C98" s="18" t="n"/>
      <c r="D98" s="42">
        <f>IF(C98="","",IFERROR(INDEX(TenantProperty,MATCH(C98,Tenants,0)),""))</f>
        <v/>
      </c>
      <c r="E98" s="42">
        <f>IF(C98="","",IFERROR(INDEX(TenantUnit,MATCH(C98,Tenants,0)),""))</f>
        <v/>
      </c>
      <c r="F98" s="18" t="n"/>
      <c r="G98" s="18" t="n"/>
      <c r="H98" s="18" t="n"/>
      <c r="I98" s="18" t="n"/>
      <c r="J98" s="37" t="n"/>
      <c r="K98" s="37" t="n"/>
      <c r="L98" s="43">
        <f>IF(C98="","",SUMIFS($J$7:J98,$C$7:C98,C98)-SUMIFS($K$7:K98,$C$7:C98,C98))</f>
        <v/>
      </c>
      <c r="N98">
        <f>IF(AND(C98&lt;&gt;"",C98='Tenant Statement'!$C$6),COUNTIF($C$7:C98,'Tenant Statement'!$C$6),"")</f>
        <v/>
      </c>
    </row>
    <row r="99">
      <c r="B99" s="41" t="n"/>
      <c r="C99" s="18" t="n"/>
      <c r="D99" s="42">
        <f>IF(C99="","",IFERROR(INDEX(TenantProperty,MATCH(C99,Tenants,0)),""))</f>
        <v/>
      </c>
      <c r="E99" s="42">
        <f>IF(C99="","",IFERROR(INDEX(TenantUnit,MATCH(C99,Tenants,0)),""))</f>
        <v/>
      </c>
      <c r="F99" s="18" t="n"/>
      <c r="G99" s="18" t="n"/>
      <c r="H99" s="18" t="n"/>
      <c r="I99" s="18" t="n"/>
      <c r="J99" s="37" t="n"/>
      <c r="K99" s="37" t="n"/>
      <c r="L99" s="43">
        <f>IF(C99="","",SUMIFS($J$7:J99,$C$7:C99,C99)-SUMIFS($K$7:K99,$C$7:C99,C99))</f>
        <v/>
      </c>
      <c r="N99">
        <f>IF(AND(C99&lt;&gt;"",C99='Tenant Statement'!$C$6),COUNTIF($C$7:C99,'Tenant Statement'!$C$6),"")</f>
        <v/>
      </c>
    </row>
    <row r="100">
      <c r="B100" s="41" t="n"/>
      <c r="C100" s="18" t="n"/>
      <c r="D100" s="42">
        <f>IF(C100="","",IFERROR(INDEX(TenantProperty,MATCH(C100,Tenants,0)),""))</f>
        <v/>
      </c>
      <c r="E100" s="42">
        <f>IF(C100="","",IFERROR(INDEX(TenantUnit,MATCH(C100,Tenants,0)),""))</f>
        <v/>
      </c>
      <c r="F100" s="18" t="n"/>
      <c r="G100" s="18" t="n"/>
      <c r="H100" s="18" t="n"/>
      <c r="I100" s="18" t="n"/>
      <c r="J100" s="37" t="n"/>
      <c r="K100" s="37" t="n"/>
      <c r="L100" s="43">
        <f>IF(C100="","",SUMIFS($J$7:J100,$C$7:C100,C100)-SUMIFS($K$7:K100,$C$7:C100,C100))</f>
        <v/>
      </c>
      <c r="N100">
        <f>IF(AND(C100&lt;&gt;"",C100='Tenant Statement'!$C$6),COUNTIF($C$7:C100,'Tenant Statement'!$C$6),"")</f>
        <v/>
      </c>
    </row>
    <row r="101">
      <c r="B101" s="41" t="n"/>
      <c r="C101" s="18" t="n"/>
      <c r="D101" s="42">
        <f>IF(C101="","",IFERROR(INDEX(TenantProperty,MATCH(C101,Tenants,0)),""))</f>
        <v/>
      </c>
      <c r="E101" s="42">
        <f>IF(C101="","",IFERROR(INDEX(TenantUnit,MATCH(C101,Tenants,0)),""))</f>
        <v/>
      </c>
      <c r="F101" s="18" t="n"/>
      <c r="G101" s="18" t="n"/>
      <c r="H101" s="18" t="n"/>
      <c r="I101" s="18" t="n"/>
      <c r="J101" s="37" t="n"/>
      <c r="K101" s="37" t="n"/>
      <c r="L101" s="43">
        <f>IF(C101="","",SUMIFS($J$7:J101,$C$7:C101,C101)-SUMIFS($K$7:K101,$C$7:C101,C101))</f>
        <v/>
      </c>
      <c r="N101">
        <f>IF(AND(C101&lt;&gt;"",C101='Tenant Statement'!$C$6),COUNTIF($C$7:C101,'Tenant Statement'!$C$6),"")</f>
        <v/>
      </c>
    </row>
    <row r="102">
      <c r="B102" s="41" t="n"/>
      <c r="C102" s="18" t="n"/>
      <c r="D102" s="42">
        <f>IF(C102="","",IFERROR(INDEX(TenantProperty,MATCH(C102,Tenants,0)),""))</f>
        <v/>
      </c>
      <c r="E102" s="42">
        <f>IF(C102="","",IFERROR(INDEX(TenantUnit,MATCH(C102,Tenants,0)),""))</f>
        <v/>
      </c>
      <c r="F102" s="18" t="n"/>
      <c r="G102" s="18" t="n"/>
      <c r="H102" s="18" t="n"/>
      <c r="I102" s="18" t="n"/>
      <c r="J102" s="37" t="n"/>
      <c r="K102" s="37" t="n"/>
      <c r="L102" s="43">
        <f>IF(C102="","",SUMIFS($J$7:J102,$C$7:C102,C102)-SUMIFS($K$7:K102,$C$7:C102,C102))</f>
        <v/>
      </c>
      <c r="N102">
        <f>IF(AND(C102&lt;&gt;"",C102='Tenant Statement'!$C$6),COUNTIF($C$7:C102,'Tenant Statement'!$C$6),"")</f>
        <v/>
      </c>
    </row>
    <row r="103">
      <c r="B103" s="41" t="n"/>
      <c r="C103" s="18" t="n"/>
      <c r="D103" s="42">
        <f>IF(C103="","",IFERROR(INDEX(TenantProperty,MATCH(C103,Tenants,0)),""))</f>
        <v/>
      </c>
      <c r="E103" s="42">
        <f>IF(C103="","",IFERROR(INDEX(TenantUnit,MATCH(C103,Tenants,0)),""))</f>
        <v/>
      </c>
      <c r="F103" s="18" t="n"/>
      <c r="G103" s="18" t="n"/>
      <c r="H103" s="18" t="n"/>
      <c r="I103" s="18" t="n"/>
      <c r="J103" s="37" t="n"/>
      <c r="K103" s="37" t="n"/>
      <c r="L103" s="43">
        <f>IF(C103="","",SUMIFS($J$7:J103,$C$7:C103,C103)-SUMIFS($K$7:K103,$C$7:C103,C103))</f>
        <v/>
      </c>
      <c r="N103">
        <f>IF(AND(C103&lt;&gt;"",C103='Tenant Statement'!$C$6),COUNTIF($C$7:C103,'Tenant Statement'!$C$6),"")</f>
        <v/>
      </c>
    </row>
    <row r="104">
      <c r="B104" s="41" t="n"/>
      <c r="C104" s="18" t="n"/>
      <c r="D104" s="42">
        <f>IF(C104="","",IFERROR(INDEX(TenantProperty,MATCH(C104,Tenants,0)),""))</f>
        <v/>
      </c>
      <c r="E104" s="42">
        <f>IF(C104="","",IFERROR(INDEX(TenantUnit,MATCH(C104,Tenants,0)),""))</f>
        <v/>
      </c>
      <c r="F104" s="18" t="n"/>
      <c r="G104" s="18" t="n"/>
      <c r="H104" s="18" t="n"/>
      <c r="I104" s="18" t="n"/>
      <c r="J104" s="37" t="n"/>
      <c r="K104" s="37" t="n"/>
      <c r="L104" s="43">
        <f>IF(C104="","",SUMIFS($J$7:J104,$C$7:C104,C104)-SUMIFS($K$7:K104,$C$7:C104,C104))</f>
        <v/>
      </c>
      <c r="N104">
        <f>IF(AND(C104&lt;&gt;"",C104='Tenant Statement'!$C$6),COUNTIF($C$7:C104,'Tenant Statement'!$C$6),"")</f>
        <v/>
      </c>
    </row>
    <row r="105">
      <c r="B105" s="41" t="n"/>
      <c r="C105" s="18" t="n"/>
      <c r="D105" s="42">
        <f>IF(C105="","",IFERROR(INDEX(TenantProperty,MATCH(C105,Tenants,0)),""))</f>
        <v/>
      </c>
      <c r="E105" s="42">
        <f>IF(C105="","",IFERROR(INDEX(TenantUnit,MATCH(C105,Tenants,0)),""))</f>
        <v/>
      </c>
      <c r="F105" s="18" t="n"/>
      <c r="G105" s="18" t="n"/>
      <c r="H105" s="18" t="n"/>
      <c r="I105" s="18" t="n"/>
      <c r="J105" s="37" t="n"/>
      <c r="K105" s="37" t="n"/>
      <c r="L105" s="43">
        <f>IF(C105="","",SUMIFS($J$7:J105,$C$7:C105,C105)-SUMIFS($K$7:K105,$C$7:C105,C105))</f>
        <v/>
      </c>
      <c r="N105">
        <f>IF(AND(C105&lt;&gt;"",C105='Tenant Statement'!$C$6),COUNTIF($C$7:C105,'Tenant Statement'!$C$6),"")</f>
        <v/>
      </c>
    </row>
    <row r="106">
      <c r="B106" s="41" t="n"/>
      <c r="C106" s="18" t="n"/>
      <c r="D106" s="42">
        <f>IF(C106="","",IFERROR(INDEX(TenantProperty,MATCH(C106,Tenants,0)),""))</f>
        <v/>
      </c>
      <c r="E106" s="42">
        <f>IF(C106="","",IFERROR(INDEX(TenantUnit,MATCH(C106,Tenants,0)),""))</f>
        <v/>
      </c>
      <c r="F106" s="18" t="n"/>
      <c r="G106" s="18" t="n"/>
      <c r="H106" s="18" t="n"/>
      <c r="I106" s="18" t="n"/>
      <c r="J106" s="37" t="n"/>
      <c r="K106" s="37" t="n"/>
      <c r="L106" s="43">
        <f>IF(C106="","",SUMIFS($J$7:J106,$C$7:C106,C106)-SUMIFS($K$7:K106,$C$7:C106,C106))</f>
        <v/>
      </c>
      <c r="N106">
        <f>IF(AND(C106&lt;&gt;"",C106='Tenant Statement'!$C$6),COUNTIF($C$7:C106,'Tenant Statement'!$C$6),"")</f>
        <v/>
      </c>
    </row>
    <row r="107">
      <c r="B107" s="41" t="n"/>
      <c r="C107" s="18" t="n"/>
      <c r="D107" s="42">
        <f>IF(C107="","",IFERROR(INDEX(TenantProperty,MATCH(C107,Tenants,0)),""))</f>
        <v/>
      </c>
      <c r="E107" s="42">
        <f>IF(C107="","",IFERROR(INDEX(TenantUnit,MATCH(C107,Tenants,0)),""))</f>
        <v/>
      </c>
      <c r="F107" s="18" t="n"/>
      <c r="G107" s="18" t="n"/>
      <c r="H107" s="18" t="n"/>
      <c r="I107" s="18" t="n"/>
      <c r="J107" s="37" t="n"/>
      <c r="K107" s="37" t="n"/>
      <c r="L107" s="43">
        <f>IF(C107="","",SUMIFS($J$7:J107,$C$7:C107,C107)-SUMIFS($K$7:K107,$C$7:C107,C107))</f>
        <v/>
      </c>
      <c r="N107">
        <f>IF(AND(C107&lt;&gt;"",C107='Tenant Statement'!$C$6),COUNTIF($C$7:C107,'Tenant Statement'!$C$6),"")</f>
        <v/>
      </c>
    </row>
    <row r="108">
      <c r="B108" s="41" t="n"/>
      <c r="C108" s="18" t="n"/>
      <c r="D108" s="42">
        <f>IF(C108="","",IFERROR(INDEX(TenantProperty,MATCH(C108,Tenants,0)),""))</f>
        <v/>
      </c>
      <c r="E108" s="42">
        <f>IF(C108="","",IFERROR(INDEX(TenantUnit,MATCH(C108,Tenants,0)),""))</f>
        <v/>
      </c>
      <c r="F108" s="18" t="n"/>
      <c r="G108" s="18" t="n"/>
      <c r="H108" s="18" t="n"/>
      <c r="I108" s="18" t="n"/>
      <c r="J108" s="37" t="n"/>
      <c r="K108" s="37" t="n"/>
      <c r="L108" s="43">
        <f>IF(C108="","",SUMIFS($J$7:J108,$C$7:C108,C108)-SUMIFS($K$7:K108,$C$7:C108,C108))</f>
        <v/>
      </c>
      <c r="N108">
        <f>IF(AND(C108&lt;&gt;"",C108='Tenant Statement'!$C$6),COUNTIF($C$7:C108,'Tenant Statement'!$C$6),"")</f>
        <v/>
      </c>
    </row>
    <row r="109">
      <c r="B109" s="41" t="n"/>
      <c r="C109" s="18" t="n"/>
      <c r="D109" s="42">
        <f>IF(C109="","",IFERROR(INDEX(TenantProperty,MATCH(C109,Tenants,0)),""))</f>
        <v/>
      </c>
      <c r="E109" s="42">
        <f>IF(C109="","",IFERROR(INDEX(TenantUnit,MATCH(C109,Tenants,0)),""))</f>
        <v/>
      </c>
      <c r="F109" s="18" t="n"/>
      <c r="G109" s="18" t="n"/>
      <c r="H109" s="18" t="n"/>
      <c r="I109" s="18" t="n"/>
      <c r="J109" s="37" t="n"/>
      <c r="K109" s="37" t="n"/>
      <c r="L109" s="43">
        <f>IF(C109="","",SUMIFS($J$7:J109,$C$7:C109,C109)-SUMIFS($K$7:K109,$C$7:C109,C109))</f>
        <v/>
      </c>
      <c r="N109">
        <f>IF(AND(C109&lt;&gt;"",C109='Tenant Statement'!$C$6),COUNTIF($C$7:C109,'Tenant Statement'!$C$6),"")</f>
        <v/>
      </c>
    </row>
    <row r="110">
      <c r="B110" s="41" t="n"/>
      <c r="C110" s="18" t="n"/>
      <c r="D110" s="42">
        <f>IF(C110="","",IFERROR(INDEX(TenantProperty,MATCH(C110,Tenants,0)),""))</f>
        <v/>
      </c>
      <c r="E110" s="42">
        <f>IF(C110="","",IFERROR(INDEX(TenantUnit,MATCH(C110,Tenants,0)),""))</f>
        <v/>
      </c>
      <c r="F110" s="18" t="n"/>
      <c r="G110" s="18" t="n"/>
      <c r="H110" s="18" t="n"/>
      <c r="I110" s="18" t="n"/>
      <c r="J110" s="37" t="n"/>
      <c r="K110" s="37" t="n"/>
      <c r="L110" s="43">
        <f>IF(C110="","",SUMIFS($J$7:J110,$C$7:C110,C110)-SUMIFS($K$7:K110,$C$7:C110,C110))</f>
        <v/>
      </c>
      <c r="N110">
        <f>IF(AND(C110&lt;&gt;"",C110='Tenant Statement'!$C$6),COUNTIF($C$7:C110,'Tenant Statement'!$C$6),"")</f>
        <v/>
      </c>
    </row>
    <row r="111">
      <c r="B111" s="41" t="n"/>
      <c r="C111" s="18" t="n"/>
      <c r="D111" s="42">
        <f>IF(C111="","",IFERROR(INDEX(TenantProperty,MATCH(C111,Tenants,0)),""))</f>
        <v/>
      </c>
      <c r="E111" s="42">
        <f>IF(C111="","",IFERROR(INDEX(TenantUnit,MATCH(C111,Tenants,0)),""))</f>
        <v/>
      </c>
      <c r="F111" s="18" t="n"/>
      <c r="G111" s="18" t="n"/>
      <c r="H111" s="18" t="n"/>
      <c r="I111" s="18" t="n"/>
      <c r="J111" s="37" t="n"/>
      <c r="K111" s="37" t="n"/>
      <c r="L111" s="43">
        <f>IF(C111="","",SUMIFS($J$7:J111,$C$7:C111,C111)-SUMIFS($K$7:K111,$C$7:C111,C111))</f>
        <v/>
      </c>
      <c r="N111">
        <f>IF(AND(C111&lt;&gt;"",C111='Tenant Statement'!$C$6),COUNTIF($C$7:C111,'Tenant Statement'!$C$6),"")</f>
        <v/>
      </c>
    </row>
    <row r="112">
      <c r="B112" s="41" t="n"/>
      <c r="C112" s="18" t="n"/>
      <c r="D112" s="42">
        <f>IF(C112="","",IFERROR(INDEX(TenantProperty,MATCH(C112,Tenants,0)),""))</f>
        <v/>
      </c>
      <c r="E112" s="42">
        <f>IF(C112="","",IFERROR(INDEX(TenantUnit,MATCH(C112,Tenants,0)),""))</f>
        <v/>
      </c>
      <c r="F112" s="18" t="n"/>
      <c r="G112" s="18" t="n"/>
      <c r="H112" s="18" t="n"/>
      <c r="I112" s="18" t="n"/>
      <c r="J112" s="37" t="n"/>
      <c r="K112" s="37" t="n"/>
      <c r="L112" s="43">
        <f>IF(C112="","",SUMIFS($J$7:J112,$C$7:C112,C112)-SUMIFS($K$7:K112,$C$7:C112,C112))</f>
        <v/>
      </c>
      <c r="N112">
        <f>IF(AND(C112&lt;&gt;"",C112='Tenant Statement'!$C$6),COUNTIF($C$7:C112,'Tenant Statement'!$C$6),"")</f>
        <v/>
      </c>
    </row>
    <row r="113">
      <c r="B113" s="41" t="n"/>
      <c r="C113" s="18" t="n"/>
      <c r="D113" s="42">
        <f>IF(C113="","",IFERROR(INDEX(TenantProperty,MATCH(C113,Tenants,0)),""))</f>
        <v/>
      </c>
      <c r="E113" s="42">
        <f>IF(C113="","",IFERROR(INDEX(TenantUnit,MATCH(C113,Tenants,0)),""))</f>
        <v/>
      </c>
      <c r="F113" s="18" t="n"/>
      <c r="G113" s="18" t="n"/>
      <c r="H113" s="18" t="n"/>
      <c r="I113" s="18" t="n"/>
      <c r="J113" s="37" t="n"/>
      <c r="K113" s="37" t="n"/>
      <c r="L113" s="43">
        <f>IF(C113="","",SUMIFS($J$7:J113,$C$7:C113,C113)-SUMIFS($K$7:K113,$C$7:C113,C113))</f>
        <v/>
      </c>
      <c r="N113">
        <f>IF(AND(C113&lt;&gt;"",C113='Tenant Statement'!$C$6),COUNTIF($C$7:C113,'Tenant Statement'!$C$6),"")</f>
        <v/>
      </c>
    </row>
    <row r="114">
      <c r="B114" s="41" t="n"/>
      <c r="C114" s="18" t="n"/>
      <c r="D114" s="42">
        <f>IF(C114="","",IFERROR(INDEX(TenantProperty,MATCH(C114,Tenants,0)),""))</f>
        <v/>
      </c>
      <c r="E114" s="42">
        <f>IF(C114="","",IFERROR(INDEX(TenantUnit,MATCH(C114,Tenants,0)),""))</f>
        <v/>
      </c>
      <c r="F114" s="18" t="n"/>
      <c r="G114" s="18" t="n"/>
      <c r="H114" s="18" t="n"/>
      <c r="I114" s="18" t="n"/>
      <c r="J114" s="37" t="n"/>
      <c r="K114" s="37" t="n"/>
      <c r="L114" s="43">
        <f>IF(C114="","",SUMIFS($J$7:J114,$C$7:C114,C114)-SUMIFS($K$7:K114,$C$7:C114,C114))</f>
        <v/>
      </c>
      <c r="N114">
        <f>IF(AND(C114&lt;&gt;"",C114='Tenant Statement'!$C$6),COUNTIF($C$7:C114,'Tenant Statement'!$C$6),"")</f>
        <v/>
      </c>
    </row>
    <row r="115">
      <c r="B115" s="41" t="n"/>
      <c r="C115" s="18" t="n"/>
      <c r="D115" s="42">
        <f>IF(C115="","",IFERROR(INDEX(TenantProperty,MATCH(C115,Tenants,0)),""))</f>
        <v/>
      </c>
      <c r="E115" s="42">
        <f>IF(C115="","",IFERROR(INDEX(TenantUnit,MATCH(C115,Tenants,0)),""))</f>
        <v/>
      </c>
      <c r="F115" s="18" t="n"/>
      <c r="G115" s="18" t="n"/>
      <c r="H115" s="18" t="n"/>
      <c r="I115" s="18" t="n"/>
      <c r="J115" s="37" t="n"/>
      <c r="K115" s="37" t="n"/>
      <c r="L115" s="43">
        <f>IF(C115="","",SUMIFS($J$7:J115,$C$7:C115,C115)-SUMIFS($K$7:K115,$C$7:C115,C115))</f>
        <v/>
      </c>
      <c r="N115">
        <f>IF(AND(C115&lt;&gt;"",C115='Tenant Statement'!$C$6),COUNTIF($C$7:C115,'Tenant Statement'!$C$6),"")</f>
        <v/>
      </c>
    </row>
    <row r="116">
      <c r="B116" s="41" t="n"/>
      <c r="C116" s="18" t="n"/>
      <c r="D116" s="42">
        <f>IF(C116="","",IFERROR(INDEX(TenantProperty,MATCH(C116,Tenants,0)),""))</f>
        <v/>
      </c>
      <c r="E116" s="42">
        <f>IF(C116="","",IFERROR(INDEX(TenantUnit,MATCH(C116,Tenants,0)),""))</f>
        <v/>
      </c>
      <c r="F116" s="18" t="n"/>
      <c r="G116" s="18" t="n"/>
      <c r="H116" s="18" t="n"/>
      <c r="I116" s="18" t="n"/>
      <c r="J116" s="37" t="n"/>
      <c r="K116" s="37" t="n"/>
      <c r="L116" s="43">
        <f>IF(C116="","",SUMIFS($J$7:J116,$C$7:C116,C116)-SUMIFS($K$7:K116,$C$7:C116,C116))</f>
        <v/>
      </c>
      <c r="N116">
        <f>IF(AND(C116&lt;&gt;"",C116='Tenant Statement'!$C$6),COUNTIF($C$7:C116,'Tenant Statement'!$C$6),"")</f>
        <v/>
      </c>
    </row>
    <row r="117">
      <c r="B117" s="41" t="n"/>
      <c r="C117" s="18" t="n"/>
      <c r="D117" s="42">
        <f>IF(C117="","",IFERROR(INDEX(TenantProperty,MATCH(C117,Tenants,0)),""))</f>
        <v/>
      </c>
      <c r="E117" s="42">
        <f>IF(C117="","",IFERROR(INDEX(TenantUnit,MATCH(C117,Tenants,0)),""))</f>
        <v/>
      </c>
      <c r="F117" s="18" t="n"/>
      <c r="G117" s="18" t="n"/>
      <c r="H117" s="18" t="n"/>
      <c r="I117" s="18" t="n"/>
      <c r="J117" s="37" t="n"/>
      <c r="K117" s="37" t="n"/>
      <c r="L117" s="43">
        <f>IF(C117="","",SUMIFS($J$7:J117,$C$7:C117,C117)-SUMIFS($K$7:K117,$C$7:C117,C117))</f>
        <v/>
      </c>
      <c r="N117">
        <f>IF(AND(C117&lt;&gt;"",C117='Tenant Statement'!$C$6),COUNTIF($C$7:C117,'Tenant Statement'!$C$6),"")</f>
        <v/>
      </c>
    </row>
    <row r="118">
      <c r="B118" s="41" t="n"/>
      <c r="C118" s="18" t="n"/>
      <c r="D118" s="42">
        <f>IF(C118="","",IFERROR(INDEX(TenantProperty,MATCH(C118,Tenants,0)),""))</f>
        <v/>
      </c>
      <c r="E118" s="42">
        <f>IF(C118="","",IFERROR(INDEX(TenantUnit,MATCH(C118,Tenants,0)),""))</f>
        <v/>
      </c>
      <c r="F118" s="18" t="n"/>
      <c r="G118" s="18" t="n"/>
      <c r="H118" s="18" t="n"/>
      <c r="I118" s="18" t="n"/>
      <c r="J118" s="37" t="n"/>
      <c r="K118" s="37" t="n"/>
      <c r="L118" s="43">
        <f>IF(C118="","",SUMIFS($J$7:J118,$C$7:C118,C118)-SUMIFS($K$7:K118,$C$7:C118,C118))</f>
        <v/>
      </c>
      <c r="N118">
        <f>IF(AND(C118&lt;&gt;"",C118='Tenant Statement'!$C$6),COUNTIF($C$7:C118,'Tenant Statement'!$C$6),"")</f>
        <v/>
      </c>
    </row>
    <row r="119">
      <c r="B119" s="41" t="n"/>
      <c r="C119" s="18" t="n"/>
      <c r="D119" s="42">
        <f>IF(C119="","",IFERROR(INDEX(TenantProperty,MATCH(C119,Tenants,0)),""))</f>
        <v/>
      </c>
      <c r="E119" s="42">
        <f>IF(C119="","",IFERROR(INDEX(TenantUnit,MATCH(C119,Tenants,0)),""))</f>
        <v/>
      </c>
      <c r="F119" s="18" t="n"/>
      <c r="G119" s="18" t="n"/>
      <c r="H119" s="18" t="n"/>
      <c r="I119" s="18" t="n"/>
      <c r="J119" s="37" t="n"/>
      <c r="K119" s="37" t="n"/>
      <c r="L119" s="43">
        <f>IF(C119="","",SUMIFS($J$7:J119,$C$7:C119,C119)-SUMIFS($K$7:K119,$C$7:C119,C119))</f>
        <v/>
      </c>
      <c r="N119">
        <f>IF(AND(C119&lt;&gt;"",C119='Tenant Statement'!$C$6),COUNTIF($C$7:C119,'Tenant Statement'!$C$6),"")</f>
        <v/>
      </c>
    </row>
    <row r="120">
      <c r="B120" s="41" t="n"/>
      <c r="C120" s="18" t="n"/>
      <c r="D120" s="42">
        <f>IF(C120="","",IFERROR(INDEX(TenantProperty,MATCH(C120,Tenants,0)),""))</f>
        <v/>
      </c>
      <c r="E120" s="42">
        <f>IF(C120="","",IFERROR(INDEX(TenantUnit,MATCH(C120,Tenants,0)),""))</f>
        <v/>
      </c>
      <c r="F120" s="18" t="n"/>
      <c r="G120" s="18" t="n"/>
      <c r="H120" s="18" t="n"/>
      <c r="I120" s="18" t="n"/>
      <c r="J120" s="37" t="n"/>
      <c r="K120" s="37" t="n"/>
      <c r="L120" s="43">
        <f>IF(C120="","",SUMIFS($J$7:J120,$C$7:C120,C120)-SUMIFS($K$7:K120,$C$7:C120,C120))</f>
        <v/>
      </c>
      <c r="N120">
        <f>IF(AND(C120&lt;&gt;"",C120='Tenant Statement'!$C$6),COUNTIF($C$7:C120,'Tenant Statement'!$C$6),"")</f>
        <v/>
      </c>
    </row>
    <row r="121">
      <c r="B121" s="41" t="n"/>
      <c r="C121" s="18" t="n"/>
      <c r="D121" s="42">
        <f>IF(C121="","",IFERROR(INDEX(TenantProperty,MATCH(C121,Tenants,0)),""))</f>
        <v/>
      </c>
      <c r="E121" s="42">
        <f>IF(C121="","",IFERROR(INDEX(TenantUnit,MATCH(C121,Tenants,0)),""))</f>
        <v/>
      </c>
      <c r="F121" s="18" t="n"/>
      <c r="G121" s="18" t="n"/>
      <c r="H121" s="18" t="n"/>
      <c r="I121" s="18" t="n"/>
      <c r="J121" s="37" t="n"/>
      <c r="K121" s="37" t="n"/>
      <c r="L121" s="43">
        <f>IF(C121="","",SUMIFS($J$7:J121,$C$7:C121,C121)-SUMIFS($K$7:K121,$C$7:C121,C121))</f>
        <v/>
      </c>
      <c r="N121">
        <f>IF(AND(C121&lt;&gt;"",C121='Tenant Statement'!$C$6),COUNTIF($C$7:C121,'Tenant Statement'!$C$6),"")</f>
        <v/>
      </c>
    </row>
    <row r="122">
      <c r="B122" s="41" t="n"/>
      <c r="C122" s="18" t="n"/>
      <c r="D122" s="42">
        <f>IF(C122="","",IFERROR(INDEX(TenantProperty,MATCH(C122,Tenants,0)),""))</f>
        <v/>
      </c>
      <c r="E122" s="42">
        <f>IF(C122="","",IFERROR(INDEX(TenantUnit,MATCH(C122,Tenants,0)),""))</f>
        <v/>
      </c>
      <c r="F122" s="18" t="n"/>
      <c r="G122" s="18" t="n"/>
      <c r="H122" s="18" t="n"/>
      <c r="I122" s="18" t="n"/>
      <c r="J122" s="37" t="n"/>
      <c r="K122" s="37" t="n"/>
      <c r="L122" s="43">
        <f>IF(C122="","",SUMIFS($J$7:J122,$C$7:C122,C122)-SUMIFS($K$7:K122,$C$7:C122,C122))</f>
        <v/>
      </c>
      <c r="N122">
        <f>IF(AND(C122&lt;&gt;"",C122='Tenant Statement'!$C$6),COUNTIF($C$7:C122,'Tenant Statement'!$C$6),"")</f>
        <v/>
      </c>
    </row>
    <row r="123">
      <c r="B123" s="41" t="n"/>
      <c r="C123" s="18" t="n"/>
      <c r="D123" s="42">
        <f>IF(C123="","",IFERROR(INDEX(TenantProperty,MATCH(C123,Tenants,0)),""))</f>
        <v/>
      </c>
      <c r="E123" s="42">
        <f>IF(C123="","",IFERROR(INDEX(TenantUnit,MATCH(C123,Tenants,0)),""))</f>
        <v/>
      </c>
      <c r="F123" s="18" t="n"/>
      <c r="G123" s="18" t="n"/>
      <c r="H123" s="18" t="n"/>
      <c r="I123" s="18" t="n"/>
      <c r="J123" s="37" t="n"/>
      <c r="K123" s="37" t="n"/>
      <c r="L123" s="43">
        <f>IF(C123="","",SUMIFS($J$7:J123,$C$7:C123,C123)-SUMIFS($K$7:K123,$C$7:C123,C123))</f>
        <v/>
      </c>
      <c r="N123">
        <f>IF(AND(C123&lt;&gt;"",C123='Tenant Statement'!$C$6),COUNTIF($C$7:C123,'Tenant Statement'!$C$6),"")</f>
        <v/>
      </c>
    </row>
    <row r="124">
      <c r="B124" s="41" t="n"/>
      <c r="C124" s="18" t="n"/>
      <c r="D124" s="42">
        <f>IF(C124="","",IFERROR(INDEX(TenantProperty,MATCH(C124,Tenants,0)),""))</f>
        <v/>
      </c>
      <c r="E124" s="42">
        <f>IF(C124="","",IFERROR(INDEX(TenantUnit,MATCH(C124,Tenants,0)),""))</f>
        <v/>
      </c>
      <c r="F124" s="18" t="n"/>
      <c r="G124" s="18" t="n"/>
      <c r="H124" s="18" t="n"/>
      <c r="I124" s="18" t="n"/>
      <c r="J124" s="37" t="n"/>
      <c r="K124" s="37" t="n"/>
      <c r="L124" s="43">
        <f>IF(C124="","",SUMIFS($J$7:J124,$C$7:C124,C124)-SUMIFS($K$7:K124,$C$7:C124,C124))</f>
        <v/>
      </c>
      <c r="N124">
        <f>IF(AND(C124&lt;&gt;"",C124='Tenant Statement'!$C$6),COUNTIF($C$7:C124,'Tenant Statement'!$C$6),"")</f>
        <v/>
      </c>
    </row>
    <row r="125">
      <c r="B125" s="41" t="n"/>
      <c r="C125" s="18" t="n"/>
      <c r="D125" s="42">
        <f>IF(C125="","",IFERROR(INDEX(TenantProperty,MATCH(C125,Tenants,0)),""))</f>
        <v/>
      </c>
      <c r="E125" s="42">
        <f>IF(C125="","",IFERROR(INDEX(TenantUnit,MATCH(C125,Tenants,0)),""))</f>
        <v/>
      </c>
      <c r="F125" s="18" t="n"/>
      <c r="G125" s="18" t="n"/>
      <c r="H125" s="18" t="n"/>
      <c r="I125" s="18" t="n"/>
      <c r="J125" s="37" t="n"/>
      <c r="K125" s="37" t="n"/>
      <c r="L125" s="43">
        <f>IF(C125="","",SUMIFS($J$7:J125,$C$7:C125,C125)-SUMIFS($K$7:K125,$C$7:C125,C125))</f>
        <v/>
      </c>
      <c r="N125">
        <f>IF(AND(C125&lt;&gt;"",C125='Tenant Statement'!$C$6),COUNTIF($C$7:C125,'Tenant Statement'!$C$6),"")</f>
        <v/>
      </c>
    </row>
    <row r="126">
      <c r="B126" s="41" t="n"/>
      <c r="C126" s="18" t="n"/>
      <c r="D126" s="42">
        <f>IF(C126="","",IFERROR(INDEX(TenantProperty,MATCH(C126,Tenants,0)),""))</f>
        <v/>
      </c>
      <c r="E126" s="42">
        <f>IF(C126="","",IFERROR(INDEX(TenantUnit,MATCH(C126,Tenants,0)),""))</f>
        <v/>
      </c>
      <c r="F126" s="18" t="n"/>
      <c r="G126" s="18" t="n"/>
      <c r="H126" s="18" t="n"/>
      <c r="I126" s="18" t="n"/>
      <c r="J126" s="37" t="n"/>
      <c r="K126" s="37" t="n"/>
      <c r="L126" s="43">
        <f>IF(C126="","",SUMIFS($J$7:J126,$C$7:C126,C126)-SUMIFS($K$7:K126,$C$7:C126,C126))</f>
        <v/>
      </c>
      <c r="N126">
        <f>IF(AND(C126&lt;&gt;"",C126='Tenant Statement'!$C$6),COUNTIF($C$7:C126,'Tenant Statement'!$C$6),"")</f>
        <v/>
      </c>
    </row>
    <row r="127">
      <c r="B127" s="41" t="n"/>
      <c r="C127" s="18" t="n"/>
      <c r="D127" s="42">
        <f>IF(C127="","",IFERROR(INDEX(TenantProperty,MATCH(C127,Tenants,0)),""))</f>
        <v/>
      </c>
      <c r="E127" s="42">
        <f>IF(C127="","",IFERROR(INDEX(TenantUnit,MATCH(C127,Tenants,0)),""))</f>
        <v/>
      </c>
      <c r="F127" s="18" t="n"/>
      <c r="G127" s="18" t="n"/>
      <c r="H127" s="18" t="n"/>
      <c r="I127" s="18" t="n"/>
      <c r="J127" s="37" t="n"/>
      <c r="K127" s="37" t="n"/>
      <c r="L127" s="43">
        <f>IF(C127="","",SUMIFS($J$7:J127,$C$7:C127,C127)-SUMIFS($K$7:K127,$C$7:C127,C127))</f>
        <v/>
      </c>
      <c r="N127">
        <f>IF(AND(C127&lt;&gt;"",C127='Tenant Statement'!$C$6),COUNTIF($C$7:C127,'Tenant Statement'!$C$6),"")</f>
        <v/>
      </c>
    </row>
    <row r="128">
      <c r="B128" s="41" t="n"/>
      <c r="C128" s="18" t="n"/>
      <c r="D128" s="42">
        <f>IF(C128="","",IFERROR(INDEX(TenantProperty,MATCH(C128,Tenants,0)),""))</f>
        <v/>
      </c>
      <c r="E128" s="42">
        <f>IF(C128="","",IFERROR(INDEX(TenantUnit,MATCH(C128,Tenants,0)),""))</f>
        <v/>
      </c>
      <c r="F128" s="18" t="n"/>
      <c r="G128" s="18" t="n"/>
      <c r="H128" s="18" t="n"/>
      <c r="I128" s="18" t="n"/>
      <c r="J128" s="37" t="n"/>
      <c r="K128" s="37" t="n"/>
      <c r="L128" s="43">
        <f>IF(C128="","",SUMIFS($J$7:J128,$C$7:C128,C128)-SUMIFS($K$7:K128,$C$7:C128,C128))</f>
        <v/>
      </c>
      <c r="N128">
        <f>IF(AND(C128&lt;&gt;"",C128='Tenant Statement'!$C$6),COUNTIF($C$7:C128,'Tenant Statement'!$C$6),"")</f>
        <v/>
      </c>
    </row>
    <row r="129">
      <c r="B129" s="41" t="n"/>
      <c r="C129" s="18" t="n"/>
      <c r="D129" s="42">
        <f>IF(C129="","",IFERROR(INDEX(TenantProperty,MATCH(C129,Tenants,0)),""))</f>
        <v/>
      </c>
      <c r="E129" s="42">
        <f>IF(C129="","",IFERROR(INDEX(TenantUnit,MATCH(C129,Tenants,0)),""))</f>
        <v/>
      </c>
      <c r="F129" s="18" t="n"/>
      <c r="G129" s="18" t="n"/>
      <c r="H129" s="18" t="n"/>
      <c r="I129" s="18" t="n"/>
      <c r="J129" s="37" t="n"/>
      <c r="K129" s="37" t="n"/>
      <c r="L129" s="43">
        <f>IF(C129="","",SUMIFS($J$7:J129,$C$7:C129,C129)-SUMIFS($K$7:K129,$C$7:C129,C129))</f>
        <v/>
      </c>
      <c r="N129">
        <f>IF(AND(C129&lt;&gt;"",C129='Tenant Statement'!$C$6),COUNTIF($C$7:C129,'Tenant Statement'!$C$6),"")</f>
        <v/>
      </c>
    </row>
    <row r="130">
      <c r="B130" s="41" t="n"/>
      <c r="C130" s="18" t="n"/>
      <c r="D130" s="42">
        <f>IF(C130="","",IFERROR(INDEX(TenantProperty,MATCH(C130,Tenants,0)),""))</f>
        <v/>
      </c>
      <c r="E130" s="42">
        <f>IF(C130="","",IFERROR(INDEX(TenantUnit,MATCH(C130,Tenants,0)),""))</f>
        <v/>
      </c>
      <c r="F130" s="18" t="n"/>
      <c r="G130" s="18" t="n"/>
      <c r="H130" s="18" t="n"/>
      <c r="I130" s="18" t="n"/>
      <c r="J130" s="37" t="n"/>
      <c r="K130" s="37" t="n"/>
      <c r="L130" s="43">
        <f>IF(C130="","",SUMIFS($J$7:J130,$C$7:C130,C130)-SUMIFS($K$7:K130,$C$7:C130,C130))</f>
        <v/>
      </c>
      <c r="N130">
        <f>IF(AND(C130&lt;&gt;"",C130='Tenant Statement'!$C$6),COUNTIF($C$7:C130,'Tenant Statement'!$C$6),"")</f>
        <v/>
      </c>
    </row>
    <row r="131">
      <c r="B131" s="41" t="n"/>
      <c r="C131" s="18" t="n"/>
      <c r="D131" s="42">
        <f>IF(C131="","",IFERROR(INDEX(TenantProperty,MATCH(C131,Tenants,0)),""))</f>
        <v/>
      </c>
      <c r="E131" s="42">
        <f>IF(C131="","",IFERROR(INDEX(TenantUnit,MATCH(C131,Tenants,0)),""))</f>
        <v/>
      </c>
      <c r="F131" s="18" t="n"/>
      <c r="G131" s="18" t="n"/>
      <c r="H131" s="18" t="n"/>
      <c r="I131" s="18" t="n"/>
      <c r="J131" s="37" t="n"/>
      <c r="K131" s="37" t="n"/>
      <c r="L131" s="43">
        <f>IF(C131="","",SUMIFS($J$7:J131,$C$7:C131,C131)-SUMIFS($K$7:K131,$C$7:C131,C131))</f>
        <v/>
      </c>
      <c r="N131">
        <f>IF(AND(C131&lt;&gt;"",C131='Tenant Statement'!$C$6),COUNTIF($C$7:C131,'Tenant Statement'!$C$6),"")</f>
        <v/>
      </c>
    </row>
    <row r="132">
      <c r="B132" s="41" t="n"/>
      <c r="C132" s="18" t="n"/>
      <c r="D132" s="42">
        <f>IF(C132="","",IFERROR(INDEX(TenantProperty,MATCH(C132,Tenants,0)),""))</f>
        <v/>
      </c>
      <c r="E132" s="42">
        <f>IF(C132="","",IFERROR(INDEX(TenantUnit,MATCH(C132,Tenants,0)),""))</f>
        <v/>
      </c>
      <c r="F132" s="18" t="n"/>
      <c r="G132" s="18" t="n"/>
      <c r="H132" s="18" t="n"/>
      <c r="I132" s="18" t="n"/>
      <c r="J132" s="37" t="n"/>
      <c r="K132" s="37" t="n"/>
      <c r="L132" s="43">
        <f>IF(C132="","",SUMIFS($J$7:J132,$C$7:C132,C132)-SUMIFS($K$7:K132,$C$7:C132,C132))</f>
        <v/>
      </c>
      <c r="N132">
        <f>IF(AND(C132&lt;&gt;"",C132='Tenant Statement'!$C$6),COUNTIF($C$7:C132,'Tenant Statement'!$C$6),"")</f>
        <v/>
      </c>
    </row>
    <row r="133">
      <c r="B133" s="41" t="n"/>
      <c r="C133" s="18" t="n"/>
      <c r="D133" s="42">
        <f>IF(C133="","",IFERROR(INDEX(TenantProperty,MATCH(C133,Tenants,0)),""))</f>
        <v/>
      </c>
      <c r="E133" s="42">
        <f>IF(C133="","",IFERROR(INDEX(TenantUnit,MATCH(C133,Tenants,0)),""))</f>
        <v/>
      </c>
      <c r="F133" s="18" t="n"/>
      <c r="G133" s="18" t="n"/>
      <c r="H133" s="18" t="n"/>
      <c r="I133" s="18" t="n"/>
      <c r="J133" s="37" t="n"/>
      <c r="K133" s="37" t="n"/>
      <c r="L133" s="43">
        <f>IF(C133="","",SUMIFS($J$7:J133,$C$7:C133,C133)-SUMIFS($K$7:K133,$C$7:C133,C133))</f>
        <v/>
      </c>
      <c r="N133">
        <f>IF(AND(C133&lt;&gt;"",C133='Tenant Statement'!$C$6),COUNTIF($C$7:C133,'Tenant Statement'!$C$6),"")</f>
        <v/>
      </c>
    </row>
    <row r="134">
      <c r="B134" s="41" t="n"/>
      <c r="C134" s="18" t="n"/>
      <c r="D134" s="42">
        <f>IF(C134="","",IFERROR(INDEX(TenantProperty,MATCH(C134,Tenants,0)),""))</f>
        <v/>
      </c>
      <c r="E134" s="42">
        <f>IF(C134="","",IFERROR(INDEX(TenantUnit,MATCH(C134,Tenants,0)),""))</f>
        <v/>
      </c>
      <c r="F134" s="18" t="n"/>
      <c r="G134" s="18" t="n"/>
      <c r="H134" s="18" t="n"/>
      <c r="I134" s="18" t="n"/>
      <c r="J134" s="37" t="n"/>
      <c r="K134" s="37" t="n"/>
      <c r="L134" s="43">
        <f>IF(C134="","",SUMIFS($J$7:J134,$C$7:C134,C134)-SUMIFS($K$7:K134,$C$7:C134,C134))</f>
        <v/>
      </c>
      <c r="N134">
        <f>IF(AND(C134&lt;&gt;"",C134='Tenant Statement'!$C$6),COUNTIF($C$7:C134,'Tenant Statement'!$C$6),"")</f>
        <v/>
      </c>
    </row>
    <row r="135">
      <c r="B135" s="41" t="n"/>
      <c r="C135" s="18" t="n"/>
      <c r="D135" s="42">
        <f>IF(C135="","",IFERROR(INDEX(TenantProperty,MATCH(C135,Tenants,0)),""))</f>
        <v/>
      </c>
      <c r="E135" s="42">
        <f>IF(C135="","",IFERROR(INDEX(TenantUnit,MATCH(C135,Tenants,0)),""))</f>
        <v/>
      </c>
      <c r="F135" s="18" t="n"/>
      <c r="G135" s="18" t="n"/>
      <c r="H135" s="18" t="n"/>
      <c r="I135" s="18" t="n"/>
      <c r="J135" s="37" t="n"/>
      <c r="K135" s="37" t="n"/>
      <c r="L135" s="43">
        <f>IF(C135="","",SUMIFS($J$7:J135,$C$7:C135,C135)-SUMIFS($K$7:K135,$C$7:C135,C135))</f>
        <v/>
      </c>
      <c r="N135">
        <f>IF(AND(C135&lt;&gt;"",C135='Tenant Statement'!$C$6),COUNTIF($C$7:C135,'Tenant Statement'!$C$6),"")</f>
        <v/>
      </c>
    </row>
    <row r="136">
      <c r="B136" s="41" t="n"/>
      <c r="C136" s="18" t="n"/>
      <c r="D136" s="42">
        <f>IF(C136="","",IFERROR(INDEX(TenantProperty,MATCH(C136,Tenants,0)),""))</f>
        <v/>
      </c>
      <c r="E136" s="42">
        <f>IF(C136="","",IFERROR(INDEX(TenantUnit,MATCH(C136,Tenants,0)),""))</f>
        <v/>
      </c>
      <c r="F136" s="18" t="n"/>
      <c r="G136" s="18" t="n"/>
      <c r="H136" s="18" t="n"/>
      <c r="I136" s="18" t="n"/>
      <c r="J136" s="37" t="n"/>
      <c r="K136" s="37" t="n"/>
      <c r="L136" s="43">
        <f>IF(C136="","",SUMIFS($J$7:J136,$C$7:C136,C136)-SUMIFS($K$7:K136,$C$7:C136,C136))</f>
        <v/>
      </c>
      <c r="N136">
        <f>IF(AND(C136&lt;&gt;"",C136='Tenant Statement'!$C$6),COUNTIF($C$7:C136,'Tenant Statement'!$C$6),"")</f>
        <v/>
      </c>
    </row>
    <row r="137">
      <c r="B137" s="41" t="n"/>
      <c r="C137" s="18" t="n"/>
      <c r="D137" s="42">
        <f>IF(C137="","",IFERROR(INDEX(TenantProperty,MATCH(C137,Tenants,0)),""))</f>
        <v/>
      </c>
      <c r="E137" s="42">
        <f>IF(C137="","",IFERROR(INDEX(TenantUnit,MATCH(C137,Tenants,0)),""))</f>
        <v/>
      </c>
      <c r="F137" s="18" t="n"/>
      <c r="G137" s="18" t="n"/>
      <c r="H137" s="18" t="n"/>
      <c r="I137" s="18" t="n"/>
      <c r="J137" s="37" t="n"/>
      <c r="K137" s="37" t="n"/>
      <c r="L137" s="43">
        <f>IF(C137="","",SUMIFS($J$7:J137,$C$7:C137,C137)-SUMIFS($K$7:K137,$C$7:C137,C137))</f>
        <v/>
      </c>
      <c r="N137">
        <f>IF(AND(C137&lt;&gt;"",C137='Tenant Statement'!$C$6),COUNTIF($C$7:C137,'Tenant Statement'!$C$6),"")</f>
        <v/>
      </c>
    </row>
    <row r="138">
      <c r="B138" s="41" t="n"/>
      <c r="C138" s="18" t="n"/>
      <c r="D138" s="42">
        <f>IF(C138="","",IFERROR(INDEX(TenantProperty,MATCH(C138,Tenants,0)),""))</f>
        <v/>
      </c>
      <c r="E138" s="42">
        <f>IF(C138="","",IFERROR(INDEX(TenantUnit,MATCH(C138,Tenants,0)),""))</f>
        <v/>
      </c>
      <c r="F138" s="18" t="n"/>
      <c r="G138" s="18" t="n"/>
      <c r="H138" s="18" t="n"/>
      <c r="I138" s="18" t="n"/>
      <c r="J138" s="37" t="n"/>
      <c r="K138" s="37" t="n"/>
      <c r="L138" s="43">
        <f>IF(C138="","",SUMIFS($J$7:J138,$C$7:C138,C138)-SUMIFS($K$7:K138,$C$7:C138,C138))</f>
        <v/>
      </c>
      <c r="N138">
        <f>IF(AND(C138&lt;&gt;"",C138='Tenant Statement'!$C$6),COUNTIF($C$7:C138,'Tenant Statement'!$C$6),"")</f>
        <v/>
      </c>
    </row>
    <row r="139">
      <c r="B139" s="41" t="n"/>
      <c r="C139" s="18" t="n"/>
      <c r="D139" s="42">
        <f>IF(C139="","",IFERROR(INDEX(TenantProperty,MATCH(C139,Tenants,0)),""))</f>
        <v/>
      </c>
      <c r="E139" s="42">
        <f>IF(C139="","",IFERROR(INDEX(TenantUnit,MATCH(C139,Tenants,0)),""))</f>
        <v/>
      </c>
      <c r="F139" s="18" t="n"/>
      <c r="G139" s="18" t="n"/>
      <c r="H139" s="18" t="n"/>
      <c r="I139" s="18" t="n"/>
      <c r="J139" s="37" t="n"/>
      <c r="K139" s="37" t="n"/>
      <c r="L139" s="43">
        <f>IF(C139="","",SUMIFS($J$7:J139,$C$7:C139,C139)-SUMIFS($K$7:K139,$C$7:C139,C139))</f>
        <v/>
      </c>
      <c r="N139">
        <f>IF(AND(C139&lt;&gt;"",C139='Tenant Statement'!$C$6),COUNTIF($C$7:C139,'Tenant Statement'!$C$6),"")</f>
        <v/>
      </c>
    </row>
    <row r="140">
      <c r="B140" s="41" t="n"/>
      <c r="C140" s="18" t="n"/>
      <c r="D140" s="42">
        <f>IF(C140="","",IFERROR(INDEX(TenantProperty,MATCH(C140,Tenants,0)),""))</f>
        <v/>
      </c>
      <c r="E140" s="42">
        <f>IF(C140="","",IFERROR(INDEX(TenantUnit,MATCH(C140,Tenants,0)),""))</f>
        <v/>
      </c>
      <c r="F140" s="18" t="n"/>
      <c r="G140" s="18" t="n"/>
      <c r="H140" s="18" t="n"/>
      <c r="I140" s="18" t="n"/>
      <c r="J140" s="37" t="n"/>
      <c r="K140" s="37" t="n"/>
      <c r="L140" s="43">
        <f>IF(C140="","",SUMIFS($J$7:J140,$C$7:C140,C140)-SUMIFS($K$7:K140,$C$7:C140,C140))</f>
        <v/>
      </c>
      <c r="N140">
        <f>IF(AND(C140&lt;&gt;"",C140='Tenant Statement'!$C$6),COUNTIF($C$7:C140,'Tenant Statement'!$C$6),"")</f>
        <v/>
      </c>
    </row>
    <row r="141">
      <c r="B141" s="41" t="n"/>
      <c r="C141" s="18" t="n"/>
      <c r="D141" s="42">
        <f>IF(C141="","",IFERROR(INDEX(TenantProperty,MATCH(C141,Tenants,0)),""))</f>
        <v/>
      </c>
      <c r="E141" s="42">
        <f>IF(C141="","",IFERROR(INDEX(TenantUnit,MATCH(C141,Tenants,0)),""))</f>
        <v/>
      </c>
      <c r="F141" s="18" t="n"/>
      <c r="G141" s="18" t="n"/>
      <c r="H141" s="18" t="n"/>
      <c r="I141" s="18" t="n"/>
      <c r="J141" s="37" t="n"/>
      <c r="K141" s="37" t="n"/>
      <c r="L141" s="43">
        <f>IF(C141="","",SUMIFS($J$7:J141,$C$7:C141,C141)-SUMIFS($K$7:K141,$C$7:C141,C141))</f>
        <v/>
      </c>
      <c r="N141">
        <f>IF(AND(C141&lt;&gt;"",C141='Tenant Statement'!$C$6),COUNTIF($C$7:C141,'Tenant Statement'!$C$6),"")</f>
        <v/>
      </c>
    </row>
    <row r="142">
      <c r="B142" s="41" t="n"/>
      <c r="C142" s="18" t="n"/>
      <c r="D142" s="42">
        <f>IF(C142="","",IFERROR(INDEX(TenantProperty,MATCH(C142,Tenants,0)),""))</f>
        <v/>
      </c>
      <c r="E142" s="42">
        <f>IF(C142="","",IFERROR(INDEX(TenantUnit,MATCH(C142,Tenants,0)),""))</f>
        <v/>
      </c>
      <c r="F142" s="18" t="n"/>
      <c r="G142" s="18" t="n"/>
      <c r="H142" s="18" t="n"/>
      <c r="I142" s="18" t="n"/>
      <c r="J142" s="37" t="n"/>
      <c r="K142" s="37" t="n"/>
      <c r="L142" s="43">
        <f>IF(C142="","",SUMIFS($J$7:J142,$C$7:C142,C142)-SUMIFS($K$7:K142,$C$7:C142,C142))</f>
        <v/>
      </c>
      <c r="N142">
        <f>IF(AND(C142&lt;&gt;"",C142='Tenant Statement'!$C$6),COUNTIF($C$7:C142,'Tenant Statement'!$C$6),"")</f>
        <v/>
      </c>
    </row>
    <row r="143">
      <c r="B143" s="41" t="n"/>
      <c r="C143" s="18" t="n"/>
      <c r="D143" s="42">
        <f>IF(C143="","",IFERROR(INDEX(TenantProperty,MATCH(C143,Tenants,0)),""))</f>
        <v/>
      </c>
      <c r="E143" s="42">
        <f>IF(C143="","",IFERROR(INDEX(TenantUnit,MATCH(C143,Tenants,0)),""))</f>
        <v/>
      </c>
      <c r="F143" s="18" t="n"/>
      <c r="G143" s="18" t="n"/>
      <c r="H143" s="18" t="n"/>
      <c r="I143" s="18" t="n"/>
      <c r="J143" s="37" t="n"/>
      <c r="K143" s="37" t="n"/>
      <c r="L143" s="43">
        <f>IF(C143="","",SUMIFS($J$7:J143,$C$7:C143,C143)-SUMIFS($K$7:K143,$C$7:C143,C143))</f>
        <v/>
      </c>
      <c r="N143">
        <f>IF(AND(C143&lt;&gt;"",C143='Tenant Statement'!$C$6),COUNTIF($C$7:C143,'Tenant Statement'!$C$6),"")</f>
        <v/>
      </c>
    </row>
    <row r="144">
      <c r="B144" s="41" t="n"/>
      <c r="C144" s="18" t="n"/>
      <c r="D144" s="42">
        <f>IF(C144="","",IFERROR(INDEX(TenantProperty,MATCH(C144,Tenants,0)),""))</f>
        <v/>
      </c>
      <c r="E144" s="42">
        <f>IF(C144="","",IFERROR(INDEX(TenantUnit,MATCH(C144,Tenants,0)),""))</f>
        <v/>
      </c>
      <c r="F144" s="18" t="n"/>
      <c r="G144" s="18" t="n"/>
      <c r="H144" s="18" t="n"/>
      <c r="I144" s="18" t="n"/>
      <c r="J144" s="37" t="n"/>
      <c r="K144" s="37" t="n"/>
      <c r="L144" s="43">
        <f>IF(C144="","",SUMIFS($J$7:J144,$C$7:C144,C144)-SUMIFS($K$7:K144,$C$7:C144,C144))</f>
        <v/>
      </c>
      <c r="N144">
        <f>IF(AND(C144&lt;&gt;"",C144='Tenant Statement'!$C$6),COUNTIF($C$7:C144,'Tenant Statement'!$C$6),"")</f>
        <v/>
      </c>
    </row>
    <row r="145">
      <c r="B145" s="41" t="n"/>
      <c r="C145" s="18" t="n"/>
      <c r="D145" s="42">
        <f>IF(C145="","",IFERROR(INDEX(TenantProperty,MATCH(C145,Tenants,0)),""))</f>
        <v/>
      </c>
      <c r="E145" s="42">
        <f>IF(C145="","",IFERROR(INDEX(TenantUnit,MATCH(C145,Tenants,0)),""))</f>
        <v/>
      </c>
      <c r="F145" s="18" t="n"/>
      <c r="G145" s="18" t="n"/>
      <c r="H145" s="18" t="n"/>
      <c r="I145" s="18" t="n"/>
      <c r="J145" s="37" t="n"/>
      <c r="K145" s="37" t="n"/>
      <c r="L145" s="43">
        <f>IF(C145="","",SUMIFS($J$7:J145,$C$7:C145,C145)-SUMIFS($K$7:K145,$C$7:C145,C145))</f>
        <v/>
      </c>
      <c r="N145">
        <f>IF(AND(C145&lt;&gt;"",C145='Tenant Statement'!$C$6),COUNTIF($C$7:C145,'Tenant Statement'!$C$6),"")</f>
        <v/>
      </c>
    </row>
    <row r="146">
      <c r="B146" s="41" t="n"/>
      <c r="C146" s="18" t="n"/>
      <c r="D146" s="42">
        <f>IF(C146="","",IFERROR(INDEX(TenantProperty,MATCH(C146,Tenants,0)),""))</f>
        <v/>
      </c>
      <c r="E146" s="42">
        <f>IF(C146="","",IFERROR(INDEX(TenantUnit,MATCH(C146,Tenants,0)),""))</f>
        <v/>
      </c>
      <c r="F146" s="18" t="n"/>
      <c r="G146" s="18" t="n"/>
      <c r="H146" s="18" t="n"/>
      <c r="I146" s="18" t="n"/>
      <c r="J146" s="37" t="n"/>
      <c r="K146" s="37" t="n"/>
      <c r="L146" s="43">
        <f>IF(C146="","",SUMIFS($J$7:J146,$C$7:C146,C146)-SUMIFS($K$7:K146,$C$7:C146,C146))</f>
        <v/>
      </c>
      <c r="N146">
        <f>IF(AND(C146&lt;&gt;"",C146='Tenant Statement'!$C$6),COUNTIF($C$7:C146,'Tenant Statement'!$C$6),"")</f>
        <v/>
      </c>
    </row>
    <row r="147">
      <c r="B147" s="41" t="n"/>
      <c r="C147" s="18" t="n"/>
      <c r="D147" s="42">
        <f>IF(C147="","",IFERROR(INDEX(TenantProperty,MATCH(C147,Tenants,0)),""))</f>
        <v/>
      </c>
      <c r="E147" s="42">
        <f>IF(C147="","",IFERROR(INDEX(TenantUnit,MATCH(C147,Tenants,0)),""))</f>
        <v/>
      </c>
      <c r="F147" s="18" t="n"/>
      <c r="G147" s="18" t="n"/>
      <c r="H147" s="18" t="n"/>
      <c r="I147" s="18" t="n"/>
      <c r="J147" s="37" t="n"/>
      <c r="K147" s="37" t="n"/>
      <c r="L147" s="43">
        <f>IF(C147="","",SUMIFS($J$7:J147,$C$7:C147,C147)-SUMIFS($K$7:K147,$C$7:C147,C147))</f>
        <v/>
      </c>
      <c r="N147">
        <f>IF(AND(C147&lt;&gt;"",C147='Tenant Statement'!$C$6),COUNTIF($C$7:C147,'Tenant Statement'!$C$6),"")</f>
        <v/>
      </c>
    </row>
    <row r="148">
      <c r="B148" s="41" t="n"/>
      <c r="C148" s="18" t="n"/>
      <c r="D148" s="42">
        <f>IF(C148="","",IFERROR(INDEX(TenantProperty,MATCH(C148,Tenants,0)),""))</f>
        <v/>
      </c>
      <c r="E148" s="42">
        <f>IF(C148="","",IFERROR(INDEX(TenantUnit,MATCH(C148,Tenants,0)),""))</f>
        <v/>
      </c>
      <c r="F148" s="18" t="n"/>
      <c r="G148" s="18" t="n"/>
      <c r="H148" s="18" t="n"/>
      <c r="I148" s="18" t="n"/>
      <c r="J148" s="37" t="n"/>
      <c r="K148" s="37" t="n"/>
      <c r="L148" s="43">
        <f>IF(C148="","",SUMIFS($J$7:J148,$C$7:C148,C148)-SUMIFS($K$7:K148,$C$7:C148,C148))</f>
        <v/>
      </c>
      <c r="N148">
        <f>IF(AND(C148&lt;&gt;"",C148='Tenant Statement'!$C$6),COUNTIF($C$7:C148,'Tenant Statement'!$C$6),"")</f>
        <v/>
      </c>
    </row>
    <row r="149">
      <c r="B149" s="41" t="n"/>
      <c r="C149" s="18" t="n"/>
      <c r="D149" s="42">
        <f>IF(C149="","",IFERROR(INDEX(TenantProperty,MATCH(C149,Tenants,0)),""))</f>
        <v/>
      </c>
      <c r="E149" s="42">
        <f>IF(C149="","",IFERROR(INDEX(TenantUnit,MATCH(C149,Tenants,0)),""))</f>
        <v/>
      </c>
      <c r="F149" s="18" t="n"/>
      <c r="G149" s="18" t="n"/>
      <c r="H149" s="18" t="n"/>
      <c r="I149" s="18" t="n"/>
      <c r="J149" s="37" t="n"/>
      <c r="K149" s="37" t="n"/>
      <c r="L149" s="43">
        <f>IF(C149="","",SUMIFS($J$7:J149,$C$7:C149,C149)-SUMIFS($K$7:K149,$C$7:C149,C149))</f>
        <v/>
      </c>
      <c r="N149">
        <f>IF(AND(C149&lt;&gt;"",C149='Tenant Statement'!$C$6),COUNTIF($C$7:C149,'Tenant Statement'!$C$6),"")</f>
        <v/>
      </c>
    </row>
    <row r="150">
      <c r="B150" s="41" t="n"/>
      <c r="C150" s="18" t="n"/>
      <c r="D150" s="42">
        <f>IF(C150="","",IFERROR(INDEX(TenantProperty,MATCH(C150,Tenants,0)),""))</f>
        <v/>
      </c>
      <c r="E150" s="42">
        <f>IF(C150="","",IFERROR(INDEX(TenantUnit,MATCH(C150,Tenants,0)),""))</f>
        <v/>
      </c>
      <c r="F150" s="18" t="n"/>
      <c r="G150" s="18" t="n"/>
      <c r="H150" s="18" t="n"/>
      <c r="I150" s="18" t="n"/>
      <c r="J150" s="37" t="n"/>
      <c r="K150" s="37" t="n"/>
      <c r="L150" s="43">
        <f>IF(C150="","",SUMIFS($J$7:J150,$C$7:C150,C150)-SUMIFS($K$7:K150,$C$7:C150,C150))</f>
        <v/>
      </c>
      <c r="N150">
        <f>IF(AND(C150&lt;&gt;"",C150='Tenant Statement'!$C$6),COUNTIF($C$7:C150,'Tenant Statement'!$C$6),"")</f>
        <v/>
      </c>
    </row>
    <row r="151">
      <c r="B151" s="41" t="n"/>
      <c r="C151" s="18" t="n"/>
      <c r="D151" s="42">
        <f>IF(C151="","",IFERROR(INDEX(TenantProperty,MATCH(C151,Tenants,0)),""))</f>
        <v/>
      </c>
      <c r="E151" s="42">
        <f>IF(C151="","",IFERROR(INDEX(TenantUnit,MATCH(C151,Tenants,0)),""))</f>
        <v/>
      </c>
      <c r="F151" s="18" t="n"/>
      <c r="G151" s="18" t="n"/>
      <c r="H151" s="18" t="n"/>
      <c r="I151" s="18" t="n"/>
      <c r="J151" s="37" t="n"/>
      <c r="K151" s="37" t="n"/>
      <c r="L151" s="43">
        <f>IF(C151="","",SUMIFS($J$7:J151,$C$7:C151,C151)-SUMIFS($K$7:K151,$C$7:C151,C151))</f>
        <v/>
      </c>
      <c r="N151">
        <f>IF(AND(C151&lt;&gt;"",C151='Tenant Statement'!$C$6),COUNTIF($C$7:C151,'Tenant Statement'!$C$6),"")</f>
        <v/>
      </c>
    </row>
    <row r="152">
      <c r="B152" s="41" t="n"/>
      <c r="C152" s="18" t="n"/>
      <c r="D152" s="42">
        <f>IF(C152="","",IFERROR(INDEX(TenantProperty,MATCH(C152,Tenants,0)),""))</f>
        <v/>
      </c>
      <c r="E152" s="42">
        <f>IF(C152="","",IFERROR(INDEX(TenantUnit,MATCH(C152,Tenants,0)),""))</f>
        <v/>
      </c>
      <c r="F152" s="18" t="n"/>
      <c r="G152" s="18" t="n"/>
      <c r="H152" s="18" t="n"/>
      <c r="I152" s="18" t="n"/>
      <c r="J152" s="37" t="n"/>
      <c r="K152" s="37" t="n"/>
      <c r="L152" s="43">
        <f>IF(C152="","",SUMIFS($J$7:J152,$C$7:C152,C152)-SUMIFS($K$7:K152,$C$7:C152,C152))</f>
        <v/>
      </c>
      <c r="N152">
        <f>IF(AND(C152&lt;&gt;"",C152='Tenant Statement'!$C$6),COUNTIF($C$7:C152,'Tenant Statement'!$C$6),"")</f>
        <v/>
      </c>
    </row>
    <row r="153">
      <c r="B153" s="41" t="n"/>
      <c r="C153" s="18" t="n"/>
      <c r="D153" s="42">
        <f>IF(C153="","",IFERROR(INDEX(TenantProperty,MATCH(C153,Tenants,0)),""))</f>
        <v/>
      </c>
      <c r="E153" s="42">
        <f>IF(C153="","",IFERROR(INDEX(TenantUnit,MATCH(C153,Tenants,0)),""))</f>
        <v/>
      </c>
      <c r="F153" s="18" t="n"/>
      <c r="G153" s="18" t="n"/>
      <c r="H153" s="18" t="n"/>
      <c r="I153" s="18" t="n"/>
      <c r="J153" s="37" t="n"/>
      <c r="K153" s="37" t="n"/>
      <c r="L153" s="43">
        <f>IF(C153="","",SUMIFS($J$7:J153,$C$7:C153,C153)-SUMIFS($K$7:K153,$C$7:C153,C153))</f>
        <v/>
      </c>
      <c r="N153">
        <f>IF(AND(C153&lt;&gt;"",C153='Tenant Statement'!$C$6),COUNTIF($C$7:C153,'Tenant Statement'!$C$6),"")</f>
        <v/>
      </c>
    </row>
    <row r="154">
      <c r="B154" s="41" t="n"/>
      <c r="C154" s="18" t="n"/>
      <c r="D154" s="42">
        <f>IF(C154="","",IFERROR(INDEX(TenantProperty,MATCH(C154,Tenants,0)),""))</f>
        <v/>
      </c>
      <c r="E154" s="42">
        <f>IF(C154="","",IFERROR(INDEX(TenantUnit,MATCH(C154,Tenants,0)),""))</f>
        <v/>
      </c>
      <c r="F154" s="18" t="n"/>
      <c r="G154" s="18" t="n"/>
      <c r="H154" s="18" t="n"/>
      <c r="I154" s="18" t="n"/>
      <c r="J154" s="37" t="n"/>
      <c r="K154" s="37" t="n"/>
      <c r="L154" s="43">
        <f>IF(C154="","",SUMIFS($J$7:J154,$C$7:C154,C154)-SUMIFS($K$7:K154,$C$7:C154,C154))</f>
        <v/>
      </c>
      <c r="N154">
        <f>IF(AND(C154&lt;&gt;"",C154='Tenant Statement'!$C$6),COUNTIF($C$7:C154,'Tenant Statement'!$C$6),"")</f>
        <v/>
      </c>
    </row>
    <row r="155">
      <c r="B155" s="41" t="n"/>
      <c r="C155" s="18" t="n"/>
      <c r="D155" s="42">
        <f>IF(C155="","",IFERROR(INDEX(TenantProperty,MATCH(C155,Tenants,0)),""))</f>
        <v/>
      </c>
      <c r="E155" s="42">
        <f>IF(C155="","",IFERROR(INDEX(TenantUnit,MATCH(C155,Tenants,0)),""))</f>
        <v/>
      </c>
      <c r="F155" s="18" t="n"/>
      <c r="G155" s="18" t="n"/>
      <c r="H155" s="18" t="n"/>
      <c r="I155" s="18" t="n"/>
      <c r="J155" s="37" t="n"/>
      <c r="K155" s="37" t="n"/>
      <c r="L155" s="43">
        <f>IF(C155="","",SUMIFS($J$7:J155,$C$7:C155,C155)-SUMIFS($K$7:K155,$C$7:C155,C155))</f>
        <v/>
      </c>
      <c r="N155">
        <f>IF(AND(C155&lt;&gt;"",C155='Tenant Statement'!$C$6),COUNTIF($C$7:C155,'Tenant Statement'!$C$6),"")</f>
        <v/>
      </c>
    </row>
    <row r="156">
      <c r="B156" s="41" t="n"/>
      <c r="C156" s="18" t="n"/>
      <c r="D156" s="42">
        <f>IF(C156="","",IFERROR(INDEX(TenantProperty,MATCH(C156,Tenants,0)),""))</f>
        <v/>
      </c>
      <c r="E156" s="42">
        <f>IF(C156="","",IFERROR(INDEX(TenantUnit,MATCH(C156,Tenants,0)),""))</f>
        <v/>
      </c>
      <c r="F156" s="18" t="n"/>
      <c r="G156" s="18" t="n"/>
      <c r="H156" s="18" t="n"/>
      <c r="I156" s="18" t="n"/>
      <c r="J156" s="37" t="n"/>
      <c r="K156" s="37" t="n"/>
      <c r="L156" s="43">
        <f>IF(C156="","",SUMIFS($J$7:J156,$C$7:C156,C156)-SUMIFS($K$7:K156,$C$7:C156,C156))</f>
        <v/>
      </c>
      <c r="N156">
        <f>IF(AND(C156&lt;&gt;"",C156='Tenant Statement'!$C$6),COUNTIF($C$7:C156,'Tenant Statement'!$C$6),"")</f>
        <v/>
      </c>
    </row>
    <row r="157">
      <c r="B157" s="41" t="n"/>
      <c r="C157" s="18" t="n"/>
      <c r="D157" s="42">
        <f>IF(C157="","",IFERROR(INDEX(TenantProperty,MATCH(C157,Tenants,0)),""))</f>
        <v/>
      </c>
      <c r="E157" s="42">
        <f>IF(C157="","",IFERROR(INDEX(TenantUnit,MATCH(C157,Tenants,0)),""))</f>
        <v/>
      </c>
      <c r="F157" s="18" t="n"/>
      <c r="G157" s="18" t="n"/>
      <c r="H157" s="18" t="n"/>
      <c r="I157" s="18" t="n"/>
      <c r="J157" s="37" t="n"/>
      <c r="K157" s="37" t="n"/>
      <c r="L157" s="43">
        <f>IF(C157="","",SUMIFS($J$7:J157,$C$7:C157,C157)-SUMIFS($K$7:K157,$C$7:C157,C157))</f>
        <v/>
      </c>
      <c r="N157">
        <f>IF(AND(C157&lt;&gt;"",C157='Tenant Statement'!$C$6),COUNTIF($C$7:C157,'Tenant Statement'!$C$6),"")</f>
        <v/>
      </c>
    </row>
    <row r="158">
      <c r="B158" s="41" t="n"/>
      <c r="C158" s="18" t="n"/>
      <c r="D158" s="42">
        <f>IF(C158="","",IFERROR(INDEX(TenantProperty,MATCH(C158,Tenants,0)),""))</f>
        <v/>
      </c>
      <c r="E158" s="42">
        <f>IF(C158="","",IFERROR(INDEX(TenantUnit,MATCH(C158,Tenants,0)),""))</f>
        <v/>
      </c>
      <c r="F158" s="18" t="n"/>
      <c r="G158" s="18" t="n"/>
      <c r="H158" s="18" t="n"/>
      <c r="I158" s="18" t="n"/>
      <c r="J158" s="37" t="n"/>
      <c r="K158" s="37" t="n"/>
      <c r="L158" s="43">
        <f>IF(C158="","",SUMIFS($J$7:J158,$C$7:C158,C158)-SUMIFS($K$7:K158,$C$7:C158,C158))</f>
        <v/>
      </c>
      <c r="N158">
        <f>IF(AND(C158&lt;&gt;"",C158='Tenant Statement'!$C$6),COUNTIF($C$7:C158,'Tenant Statement'!$C$6),"")</f>
        <v/>
      </c>
    </row>
    <row r="159">
      <c r="B159" s="41" t="n"/>
      <c r="C159" s="18" t="n"/>
      <c r="D159" s="42">
        <f>IF(C159="","",IFERROR(INDEX(TenantProperty,MATCH(C159,Tenants,0)),""))</f>
        <v/>
      </c>
      <c r="E159" s="42">
        <f>IF(C159="","",IFERROR(INDEX(TenantUnit,MATCH(C159,Tenants,0)),""))</f>
        <v/>
      </c>
      <c r="F159" s="18" t="n"/>
      <c r="G159" s="18" t="n"/>
      <c r="H159" s="18" t="n"/>
      <c r="I159" s="18" t="n"/>
      <c r="J159" s="37" t="n"/>
      <c r="K159" s="37" t="n"/>
      <c r="L159" s="43">
        <f>IF(C159="","",SUMIFS($J$7:J159,$C$7:C159,C159)-SUMIFS($K$7:K159,$C$7:C159,C159))</f>
        <v/>
      </c>
      <c r="N159">
        <f>IF(AND(C159&lt;&gt;"",C159='Tenant Statement'!$C$6),COUNTIF($C$7:C159,'Tenant Statement'!$C$6),"")</f>
        <v/>
      </c>
    </row>
    <row r="160">
      <c r="B160" s="41" t="n"/>
      <c r="C160" s="18" t="n"/>
      <c r="D160" s="42">
        <f>IF(C160="","",IFERROR(INDEX(TenantProperty,MATCH(C160,Tenants,0)),""))</f>
        <v/>
      </c>
      <c r="E160" s="42">
        <f>IF(C160="","",IFERROR(INDEX(TenantUnit,MATCH(C160,Tenants,0)),""))</f>
        <v/>
      </c>
      <c r="F160" s="18" t="n"/>
      <c r="G160" s="18" t="n"/>
      <c r="H160" s="18" t="n"/>
      <c r="I160" s="18" t="n"/>
      <c r="J160" s="37" t="n"/>
      <c r="K160" s="37" t="n"/>
      <c r="L160" s="43">
        <f>IF(C160="","",SUMIFS($J$7:J160,$C$7:C160,C160)-SUMIFS($K$7:K160,$C$7:C160,C160))</f>
        <v/>
      </c>
      <c r="N160">
        <f>IF(AND(C160&lt;&gt;"",C160='Tenant Statement'!$C$6),COUNTIF($C$7:C160,'Tenant Statement'!$C$6),"")</f>
        <v/>
      </c>
    </row>
    <row r="161">
      <c r="B161" s="41" t="n"/>
      <c r="C161" s="18" t="n"/>
      <c r="D161" s="42">
        <f>IF(C161="","",IFERROR(INDEX(TenantProperty,MATCH(C161,Tenants,0)),""))</f>
        <v/>
      </c>
      <c r="E161" s="42">
        <f>IF(C161="","",IFERROR(INDEX(TenantUnit,MATCH(C161,Tenants,0)),""))</f>
        <v/>
      </c>
      <c r="F161" s="18" t="n"/>
      <c r="G161" s="18" t="n"/>
      <c r="H161" s="18" t="n"/>
      <c r="I161" s="18" t="n"/>
      <c r="J161" s="37" t="n"/>
      <c r="K161" s="37" t="n"/>
      <c r="L161" s="43">
        <f>IF(C161="","",SUMIFS($J$7:J161,$C$7:C161,C161)-SUMIFS($K$7:K161,$C$7:C161,C161))</f>
        <v/>
      </c>
      <c r="N161">
        <f>IF(AND(C161&lt;&gt;"",C161='Tenant Statement'!$C$6),COUNTIF($C$7:C161,'Tenant Statement'!$C$6),"")</f>
        <v/>
      </c>
    </row>
    <row r="162">
      <c r="B162" s="41" t="n"/>
      <c r="C162" s="18" t="n"/>
      <c r="D162" s="42">
        <f>IF(C162="","",IFERROR(INDEX(TenantProperty,MATCH(C162,Tenants,0)),""))</f>
        <v/>
      </c>
      <c r="E162" s="42">
        <f>IF(C162="","",IFERROR(INDEX(TenantUnit,MATCH(C162,Tenants,0)),""))</f>
        <v/>
      </c>
      <c r="F162" s="18" t="n"/>
      <c r="G162" s="18" t="n"/>
      <c r="H162" s="18" t="n"/>
      <c r="I162" s="18" t="n"/>
      <c r="J162" s="37" t="n"/>
      <c r="K162" s="37" t="n"/>
      <c r="L162" s="43">
        <f>IF(C162="","",SUMIFS($J$7:J162,$C$7:C162,C162)-SUMIFS($K$7:K162,$C$7:C162,C162))</f>
        <v/>
      </c>
      <c r="N162">
        <f>IF(AND(C162&lt;&gt;"",C162='Tenant Statement'!$C$6),COUNTIF($C$7:C162,'Tenant Statement'!$C$6),"")</f>
        <v/>
      </c>
    </row>
    <row r="163">
      <c r="B163" s="41" t="n"/>
      <c r="C163" s="18" t="n"/>
      <c r="D163" s="42">
        <f>IF(C163="","",IFERROR(INDEX(TenantProperty,MATCH(C163,Tenants,0)),""))</f>
        <v/>
      </c>
      <c r="E163" s="42">
        <f>IF(C163="","",IFERROR(INDEX(TenantUnit,MATCH(C163,Tenants,0)),""))</f>
        <v/>
      </c>
      <c r="F163" s="18" t="n"/>
      <c r="G163" s="18" t="n"/>
      <c r="H163" s="18" t="n"/>
      <c r="I163" s="18" t="n"/>
      <c r="J163" s="37" t="n"/>
      <c r="K163" s="37" t="n"/>
      <c r="L163" s="43">
        <f>IF(C163="","",SUMIFS($J$7:J163,$C$7:C163,C163)-SUMIFS($K$7:K163,$C$7:C163,C163))</f>
        <v/>
      </c>
      <c r="N163">
        <f>IF(AND(C163&lt;&gt;"",C163='Tenant Statement'!$C$6),COUNTIF($C$7:C163,'Tenant Statement'!$C$6),"")</f>
        <v/>
      </c>
    </row>
    <row r="164">
      <c r="B164" s="41" t="n"/>
      <c r="C164" s="18" t="n"/>
      <c r="D164" s="42">
        <f>IF(C164="","",IFERROR(INDEX(TenantProperty,MATCH(C164,Tenants,0)),""))</f>
        <v/>
      </c>
      <c r="E164" s="42">
        <f>IF(C164="","",IFERROR(INDEX(TenantUnit,MATCH(C164,Tenants,0)),""))</f>
        <v/>
      </c>
      <c r="F164" s="18" t="n"/>
      <c r="G164" s="18" t="n"/>
      <c r="H164" s="18" t="n"/>
      <c r="I164" s="18" t="n"/>
      <c r="J164" s="37" t="n"/>
      <c r="K164" s="37" t="n"/>
      <c r="L164" s="43">
        <f>IF(C164="","",SUMIFS($J$7:J164,$C$7:C164,C164)-SUMIFS($K$7:K164,$C$7:C164,C164))</f>
        <v/>
      </c>
      <c r="N164">
        <f>IF(AND(C164&lt;&gt;"",C164='Tenant Statement'!$C$6),COUNTIF($C$7:C164,'Tenant Statement'!$C$6),"")</f>
        <v/>
      </c>
    </row>
    <row r="165">
      <c r="B165" s="41" t="n"/>
      <c r="C165" s="18" t="n"/>
      <c r="D165" s="42">
        <f>IF(C165="","",IFERROR(INDEX(TenantProperty,MATCH(C165,Tenants,0)),""))</f>
        <v/>
      </c>
      <c r="E165" s="42">
        <f>IF(C165="","",IFERROR(INDEX(TenantUnit,MATCH(C165,Tenants,0)),""))</f>
        <v/>
      </c>
      <c r="F165" s="18" t="n"/>
      <c r="G165" s="18" t="n"/>
      <c r="H165" s="18" t="n"/>
      <c r="I165" s="18" t="n"/>
      <c r="J165" s="37" t="n"/>
      <c r="K165" s="37" t="n"/>
      <c r="L165" s="43">
        <f>IF(C165="","",SUMIFS($J$7:J165,$C$7:C165,C165)-SUMIFS($K$7:K165,$C$7:C165,C165))</f>
        <v/>
      </c>
      <c r="N165">
        <f>IF(AND(C165&lt;&gt;"",C165='Tenant Statement'!$C$6),COUNTIF($C$7:C165,'Tenant Statement'!$C$6),"")</f>
        <v/>
      </c>
    </row>
    <row r="166">
      <c r="B166" s="41" t="n"/>
      <c r="C166" s="18" t="n"/>
      <c r="D166" s="42">
        <f>IF(C166="","",IFERROR(INDEX(TenantProperty,MATCH(C166,Tenants,0)),""))</f>
        <v/>
      </c>
      <c r="E166" s="42">
        <f>IF(C166="","",IFERROR(INDEX(TenantUnit,MATCH(C166,Tenants,0)),""))</f>
        <v/>
      </c>
      <c r="F166" s="18" t="n"/>
      <c r="G166" s="18" t="n"/>
      <c r="H166" s="18" t="n"/>
      <c r="I166" s="18" t="n"/>
      <c r="J166" s="37" t="n"/>
      <c r="K166" s="37" t="n"/>
      <c r="L166" s="43">
        <f>IF(C166="","",SUMIFS($J$7:J166,$C$7:C166,C166)-SUMIFS($K$7:K166,$C$7:C166,C166))</f>
        <v/>
      </c>
      <c r="N166">
        <f>IF(AND(C166&lt;&gt;"",C166='Tenant Statement'!$C$6),COUNTIF($C$7:C166,'Tenant Statement'!$C$6),"")</f>
        <v/>
      </c>
    </row>
    <row r="167">
      <c r="B167" s="41" t="n"/>
      <c r="C167" s="18" t="n"/>
      <c r="D167" s="42">
        <f>IF(C167="","",IFERROR(INDEX(TenantProperty,MATCH(C167,Tenants,0)),""))</f>
        <v/>
      </c>
      <c r="E167" s="42">
        <f>IF(C167="","",IFERROR(INDEX(TenantUnit,MATCH(C167,Tenants,0)),""))</f>
        <v/>
      </c>
      <c r="F167" s="18" t="n"/>
      <c r="G167" s="18" t="n"/>
      <c r="H167" s="18" t="n"/>
      <c r="I167" s="18" t="n"/>
      <c r="J167" s="37" t="n"/>
      <c r="K167" s="37" t="n"/>
      <c r="L167" s="43">
        <f>IF(C167="","",SUMIFS($J$7:J167,$C$7:C167,C167)-SUMIFS($K$7:K167,$C$7:C167,C167))</f>
        <v/>
      </c>
      <c r="N167">
        <f>IF(AND(C167&lt;&gt;"",C167='Tenant Statement'!$C$6),COUNTIF($C$7:C167,'Tenant Statement'!$C$6),"")</f>
        <v/>
      </c>
    </row>
    <row r="168">
      <c r="B168" s="41" t="n"/>
      <c r="C168" s="18" t="n"/>
      <c r="D168" s="42">
        <f>IF(C168="","",IFERROR(INDEX(TenantProperty,MATCH(C168,Tenants,0)),""))</f>
        <v/>
      </c>
      <c r="E168" s="42">
        <f>IF(C168="","",IFERROR(INDEX(TenantUnit,MATCH(C168,Tenants,0)),""))</f>
        <v/>
      </c>
      <c r="F168" s="18" t="n"/>
      <c r="G168" s="18" t="n"/>
      <c r="H168" s="18" t="n"/>
      <c r="I168" s="18" t="n"/>
      <c r="J168" s="37" t="n"/>
      <c r="K168" s="37" t="n"/>
      <c r="L168" s="43">
        <f>IF(C168="","",SUMIFS($J$7:J168,$C$7:C168,C168)-SUMIFS($K$7:K168,$C$7:C168,C168))</f>
        <v/>
      </c>
      <c r="N168">
        <f>IF(AND(C168&lt;&gt;"",C168='Tenant Statement'!$C$6),COUNTIF($C$7:C168,'Tenant Statement'!$C$6),"")</f>
        <v/>
      </c>
    </row>
    <row r="169">
      <c r="B169" s="41" t="n"/>
      <c r="C169" s="18" t="n"/>
      <c r="D169" s="42">
        <f>IF(C169="","",IFERROR(INDEX(TenantProperty,MATCH(C169,Tenants,0)),""))</f>
        <v/>
      </c>
      <c r="E169" s="42">
        <f>IF(C169="","",IFERROR(INDEX(TenantUnit,MATCH(C169,Tenants,0)),""))</f>
        <v/>
      </c>
      <c r="F169" s="18" t="n"/>
      <c r="G169" s="18" t="n"/>
      <c r="H169" s="18" t="n"/>
      <c r="I169" s="18" t="n"/>
      <c r="J169" s="37" t="n"/>
      <c r="K169" s="37" t="n"/>
      <c r="L169" s="43">
        <f>IF(C169="","",SUMIFS($J$7:J169,$C$7:C169,C169)-SUMIFS($K$7:K169,$C$7:C169,C169))</f>
        <v/>
      </c>
      <c r="N169">
        <f>IF(AND(C169&lt;&gt;"",C169='Tenant Statement'!$C$6),COUNTIF($C$7:C169,'Tenant Statement'!$C$6),"")</f>
        <v/>
      </c>
    </row>
    <row r="170">
      <c r="B170" s="41" t="n"/>
      <c r="C170" s="18" t="n"/>
      <c r="D170" s="42">
        <f>IF(C170="","",IFERROR(INDEX(TenantProperty,MATCH(C170,Tenants,0)),""))</f>
        <v/>
      </c>
      <c r="E170" s="42">
        <f>IF(C170="","",IFERROR(INDEX(TenantUnit,MATCH(C170,Tenants,0)),""))</f>
        <v/>
      </c>
      <c r="F170" s="18" t="n"/>
      <c r="G170" s="18" t="n"/>
      <c r="H170" s="18" t="n"/>
      <c r="I170" s="18" t="n"/>
      <c r="J170" s="37" t="n"/>
      <c r="K170" s="37" t="n"/>
      <c r="L170" s="43">
        <f>IF(C170="","",SUMIFS($J$7:J170,$C$7:C170,C170)-SUMIFS($K$7:K170,$C$7:C170,C170))</f>
        <v/>
      </c>
      <c r="N170">
        <f>IF(AND(C170&lt;&gt;"",C170='Tenant Statement'!$C$6),COUNTIF($C$7:C170,'Tenant Statement'!$C$6),"")</f>
        <v/>
      </c>
    </row>
    <row r="171">
      <c r="B171" s="41" t="n"/>
      <c r="C171" s="18" t="n"/>
      <c r="D171" s="42">
        <f>IF(C171="","",IFERROR(INDEX(TenantProperty,MATCH(C171,Tenants,0)),""))</f>
        <v/>
      </c>
      <c r="E171" s="42">
        <f>IF(C171="","",IFERROR(INDEX(TenantUnit,MATCH(C171,Tenants,0)),""))</f>
        <v/>
      </c>
      <c r="F171" s="18" t="n"/>
      <c r="G171" s="18" t="n"/>
      <c r="H171" s="18" t="n"/>
      <c r="I171" s="18" t="n"/>
      <c r="J171" s="37" t="n"/>
      <c r="K171" s="37" t="n"/>
      <c r="L171" s="43">
        <f>IF(C171="","",SUMIFS($J$7:J171,$C$7:C171,C171)-SUMIFS($K$7:K171,$C$7:C171,C171))</f>
        <v/>
      </c>
      <c r="N171">
        <f>IF(AND(C171&lt;&gt;"",C171='Tenant Statement'!$C$6),COUNTIF($C$7:C171,'Tenant Statement'!$C$6),"")</f>
        <v/>
      </c>
    </row>
    <row r="172">
      <c r="B172" s="41" t="n"/>
      <c r="C172" s="18" t="n"/>
      <c r="D172" s="42">
        <f>IF(C172="","",IFERROR(INDEX(TenantProperty,MATCH(C172,Tenants,0)),""))</f>
        <v/>
      </c>
      <c r="E172" s="42">
        <f>IF(C172="","",IFERROR(INDEX(TenantUnit,MATCH(C172,Tenants,0)),""))</f>
        <v/>
      </c>
      <c r="F172" s="18" t="n"/>
      <c r="G172" s="18" t="n"/>
      <c r="H172" s="18" t="n"/>
      <c r="I172" s="18" t="n"/>
      <c r="J172" s="37" t="n"/>
      <c r="K172" s="37" t="n"/>
      <c r="L172" s="43">
        <f>IF(C172="","",SUMIFS($J$7:J172,$C$7:C172,C172)-SUMIFS($K$7:K172,$C$7:C172,C172))</f>
        <v/>
      </c>
      <c r="N172">
        <f>IF(AND(C172&lt;&gt;"",C172='Tenant Statement'!$C$6),COUNTIF($C$7:C172,'Tenant Statement'!$C$6),"")</f>
        <v/>
      </c>
    </row>
    <row r="173">
      <c r="B173" s="41" t="n"/>
      <c r="C173" s="18" t="n"/>
      <c r="D173" s="42">
        <f>IF(C173="","",IFERROR(INDEX(TenantProperty,MATCH(C173,Tenants,0)),""))</f>
        <v/>
      </c>
      <c r="E173" s="42">
        <f>IF(C173="","",IFERROR(INDEX(TenantUnit,MATCH(C173,Tenants,0)),""))</f>
        <v/>
      </c>
      <c r="F173" s="18" t="n"/>
      <c r="G173" s="18" t="n"/>
      <c r="H173" s="18" t="n"/>
      <c r="I173" s="18" t="n"/>
      <c r="J173" s="37" t="n"/>
      <c r="K173" s="37" t="n"/>
      <c r="L173" s="43">
        <f>IF(C173="","",SUMIFS($J$7:J173,$C$7:C173,C173)-SUMIFS($K$7:K173,$C$7:C173,C173))</f>
        <v/>
      </c>
      <c r="N173">
        <f>IF(AND(C173&lt;&gt;"",C173='Tenant Statement'!$C$6),COUNTIF($C$7:C173,'Tenant Statement'!$C$6),"")</f>
        <v/>
      </c>
    </row>
    <row r="174">
      <c r="B174" s="41" t="n"/>
      <c r="C174" s="18" t="n"/>
      <c r="D174" s="42">
        <f>IF(C174="","",IFERROR(INDEX(TenantProperty,MATCH(C174,Tenants,0)),""))</f>
        <v/>
      </c>
      <c r="E174" s="42">
        <f>IF(C174="","",IFERROR(INDEX(TenantUnit,MATCH(C174,Tenants,0)),""))</f>
        <v/>
      </c>
      <c r="F174" s="18" t="n"/>
      <c r="G174" s="18" t="n"/>
      <c r="H174" s="18" t="n"/>
      <c r="I174" s="18" t="n"/>
      <c r="J174" s="37" t="n"/>
      <c r="K174" s="37" t="n"/>
      <c r="L174" s="43">
        <f>IF(C174="","",SUMIFS($J$7:J174,$C$7:C174,C174)-SUMIFS($K$7:K174,$C$7:C174,C174))</f>
        <v/>
      </c>
      <c r="N174">
        <f>IF(AND(C174&lt;&gt;"",C174='Tenant Statement'!$C$6),COUNTIF($C$7:C174,'Tenant Statement'!$C$6),"")</f>
        <v/>
      </c>
    </row>
    <row r="175">
      <c r="B175" s="41" t="n"/>
      <c r="C175" s="18" t="n"/>
      <c r="D175" s="42">
        <f>IF(C175="","",IFERROR(INDEX(TenantProperty,MATCH(C175,Tenants,0)),""))</f>
        <v/>
      </c>
      <c r="E175" s="42">
        <f>IF(C175="","",IFERROR(INDEX(TenantUnit,MATCH(C175,Tenants,0)),""))</f>
        <v/>
      </c>
      <c r="F175" s="18" t="n"/>
      <c r="G175" s="18" t="n"/>
      <c r="H175" s="18" t="n"/>
      <c r="I175" s="18" t="n"/>
      <c r="J175" s="37" t="n"/>
      <c r="K175" s="37" t="n"/>
      <c r="L175" s="43">
        <f>IF(C175="","",SUMIFS($J$7:J175,$C$7:C175,C175)-SUMIFS($K$7:K175,$C$7:C175,C175))</f>
        <v/>
      </c>
      <c r="N175">
        <f>IF(AND(C175&lt;&gt;"",C175='Tenant Statement'!$C$6),COUNTIF($C$7:C175,'Tenant Statement'!$C$6),"")</f>
        <v/>
      </c>
    </row>
    <row r="176">
      <c r="B176" s="41" t="n"/>
      <c r="C176" s="18" t="n"/>
      <c r="D176" s="42">
        <f>IF(C176="","",IFERROR(INDEX(TenantProperty,MATCH(C176,Tenants,0)),""))</f>
        <v/>
      </c>
      <c r="E176" s="42">
        <f>IF(C176="","",IFERROR(INDEX(TenantUnit,MATCH(C176,Tenants,0)),""))</f>
        <v/>
      </c>
      <c r="F176" s="18" t="n"/>
      <c r="G176" s="18" t="n"/>
      <c r="H176" s="18" t="n"/>
      <c r="I176" s="18" t="n"/>
      <c r="J176" s="37" t="n"/>
      <c r="K176" s="37" t="n"/>
      <c r="L176" s="43">
        <f>IF(C176="","",SUMIFS($J$7:J176,$C$7:C176,C176)-SUMIFS($K$7:K176,$C$7:C176,C176))</f>
        <v/>
      </c>
      <c r="N176">
        <f>IF(AND(C176&lt;&gt;"",C176='Tenant Statement'!$C$6),COUNTIF($C$7:C176,'Tenant Statement'!$C$6),"")</f>
        <v/>
      </c>
    </row>
    <row r="177">
      <c r="B177" s="41" t="n"/>
      <c r="C177" s="18" t="n"/>
      <c r="D177" s="42">
        <f>IF(C177="","",IFERROR(INDEX(TenantProperty,MATCH(C177,Tenants,0)),""))</f>
        <v/>
      </c>
      <c r="E177" s="42">
        <f>IF(C177="","",IFERROR(INDEX(TenantUnit,MATCH(C177,Tenants,0)),""))</f>
        <v/>
      </c>
      <c r="F177" s="18" t="n"/>
      <c r="G177" s="18" t="n"/>
      <c r="H177" s="18" t="n"/>
      <c r="I177" s="18" t="n"/>
      <c r="J177" s="37" t="n"/>
      <c r="K177" s="37" t="n"/>
      <c r="L177" s="43">
        <f>IF(C177="","",SUMIFS($J$7:J177,$C$7:C177,C177)-SUMIFS($K$7:K177,$C$7:C177,C177))</f>
        <v/>
      </c>
      <c r="N177">
        <f>IF(AND(C177&lt;&gt;"",C177='Tenant Statement'!$C$6),COUNTIF($C$7:C177,'Tenant Statement'!$C$6),"")</f>
        <v/>
      </c>
    </row>
    <row r="178">
      <c r="B178" s="41" t="n"/>
      <c r="C178" s="18" t="n"/>
      <c r="D178" s="42">
        <f>IF(C178="","",IFERROR(INDEX(TenantProperty,MATCH(C178,Tenants,0)),""))</f>
        <v/>
      </c>
      <c r="E178" s="42">
        <f>IF(C178="","",IFERROR(INDEX(TenantUnit,MATCH(C178,Tenants,0)),""))</f>
        <v/>
      </c>
      <c r="F178" s="18" t="n"/>
      <c r="G178" s="18" t="n"/>
      <c r="H178" s="18" t="n"/>
      <c r="I178" s="18" t="n"/>
      <c r="J178" s="37" t="n"/>
      <c r="K178" s="37" t="n"/>
      <c r="L178" s="43">
        <f>IF(C178="","",SUMIFS($J$7:J178,$C$7:C178,C178)-SUMIFS($K$7:K178,$C$7:C178,C178))</f>
        <v/>
      </c>
      <c r="N178">
        <f>IF(AND(C178&lt;&gt;"",C178='Tenant Statement'!$C$6),COUNTIF($C$7:C178,'Tenant Statement'!$C$6),"")</f>
        <v/>
      </c>
    </row>
    <row r="179">
      <c r="B179" s="41" t="n"/>
      <c r="C179" s="18" t="n"/>
      <c r="D179" s="42">
        <f>IF(C179="","",IFERROR(INDEX(TenantProperty,MATCH(C179,Tenants,0)),""))</f>
        <v/>
      </c>
      <c r="E179" s="42">
        <f>IF(C179="","",IFERROR(INDEX(TenantUnit,MATCH(C179,Tenants,0)),""))</f>
        <v/>
      </c>
      <c r="F179" s="18" t="n"/>
      <c r="G179" s="18" t="n"/>
      <c r="H179" s="18" t="n"/>
      <c r="I179" s="18" t="n"/>
      <c r="J179" s="37" t="n"/>
      <c r="K179" s="37" t="n"/>
      <c r="L179" s="43">
        <f>IF(C179="","",SUMIFS($J$7:J179,$C$7:C179,C179)-SUMIFS($K$7:K179,$C$7:C179,C179))</f>
        <v/>
      </c>
      <c r="N179">
        <f>IF(AND(C179&lt;&gt;"",C179='Tenant Statement'!$C$6),COUNTIF($C$7:C179,'Tenant Statement'!$C$6),"")</f>
        <v/>
      </c>
    </row>
    <row r="180">
      <c r="B180" s="41" t="n"/>
      <c r="C180" s="18" t="n"/>
      <c r="D180" s="42">
        <f>IF(C180="","",IFERROR(INDEX(TenantProperty,MATCH(C180,Tenants,0)),""))</f>
        <v/>
      </c>
      <c r="E180" s="42">
        <f>IF(C180="","",IFERROR(INDEX(TenantUnit,MATCH(C180,Tenants,0)),""))</f>
        <v/>
      </c>
      <c r="F180" s="18" t="n"/>
      <c r="G180" s="18" t="n"/>
      <c r="H180" s="18" t="n"/>
      <c r="I180" s="18" t="n"/>
      <c r="J180" s="37" t="n"/>
      <c r="K180" s="37" t="n"/>
      <c r="L180" s="43">
        <f>IF(C180="","",SUMIFS($J$7:J180,$C$7:C180,C180)-SUMIFS($K$7:K180,$C$7:C180,C180))</f>
        <v/>
      </c>
      <c r="N180">
        <f>IF(AND(C180&lt;&gt;"",C180='Tenant Statement'!$C$6),COUNTIF($C$7:C180,'Tenant Statement'!$C$6),"")</f>
        <v/>
      </c>
    </row>
    <row r="181">
      <c r="B181" s="41" t="n"/>
      <c r="C181" s="18" t="n"/>
      <c r="D181" s="42">
        <f>IF(C181="","",IFERROR(INDEX(TenantProperty,MATCH(C181,Tenants,0)),""))</f>
        <v/>
      </c>
      <c r="E181" s="42">
        <f>IF(C181="","",IFERROR(INDEX(TenantUnit,MATCH(C181,Tenants,0)),""))</f>
        <v/>
      </c>
      <c r="F181" s="18" t="n"/>
      <c r="G181" s="18" t="n"/>
      <c r="H181" s="18" t="n"/>
      <c r="I181" s="18" t="n"/>
      <c r="J181" s="37" t="n"/>
      <c r="K181" s="37" t="n"/>
      <c r="L181" s="43">
        <f>IF(C181="","",SUMIFS($J$7:J181,$C$7:C181,C181)-SUMIFS($K$7:K181,$C$7:C181,C181))</f>
        <v/>
      </c>
      <c r="N181">
        <f>IF(AND(C181&lt;&gt;"",C181='Tenant Statement'!$C$6),COUNTIF($C$7:C181,'Tenant Statement'!$C$6),"")</f>
        <v/>
      </c>
    </row>
    <row r="182">
      <c r="B182" s="41" t="n"/>
      <c r="C182" s="18" t="n"/>
      <c r="D182" s="42">
        <f>IF(C182="","",IFERROR(INDEX(TenantProperty,MATCH(C182,Tenants,0)),""))</f>
        <v/>
      </c>
      <c r="E182" s="42">
        <f>IF(C182="","",IFERROR(INDEX(TenantUnit,MATCH(C182,Tenants,0)),""))</f>
        <v/>
      </c>
      <c r="F182" s="18" t="n"/>
      <c r="G182" s="18" t="n"/>
      <c r="H182" s="18" t="n"/>
      <c r="I182" s="18" t="n"/>
      <c r="J182" s="37" t="n"/>
      <c r="K182" s="37" t="n"/>
      <c r="L182" s="43">
        <f>IF(C182="","",SUMIFS($J$7:J182,$C$7:C182,C182)-SUMIFS($K$7:K182,$C$7:C182,C182))</f>
        <v/>
      </c>
      <c r="N182">
        <f>IF(AND(C182&lt;&gt;"",C182='Tenant Statement'!$C$6),COUNTIF($C$7:C182,'Tenant Statement'!$C$6),"")</f>
        <v/>
      </c>
    </row>
    <row r="183">
      <c r="B183" s="41" t="n"/>
      <c r="C183" s="18" t="n"/>
      <c r="D183" s="42">
        <f>IF(C183="","",IFERROR(INDEX(TenantProperty,MATCH(C183,Tenants,0)),""))</f>
        <v/>
      </c>
      <c r="E183" s="42">
        <f>IF(C183="","",IFERROR(INDEX(TenantUnit,MATCH(C183,Tenants,0)),""))</f>
        <v/>
      </c>
      <c r="F183" s="18" t="n"/>
      <c r="G183" s="18" t="n"/>
      <c r="H183" s="18" t="n"/>
      <c r="I183" s="18" t="n"/>
      <c r="J183" s="37" t="n"/>
      <c r="K183" s="37" t="n"/>
      <c r="L183" s="43">
        <f>IF(C183="","",SUMIFS($J$7:J183,$C$7:C183,C183)-SUMIFS($K$7:K183,$C$7:C183,C183))</f>
        <v/>
      </c>
      <c r="N183">
        <f>IF(AND(C183&lt;&gt;"",C183='Tenant Statement'!$C$6),COUNTIF($C$7:C183,'Tenant Statement'!$C$6),"")</f>
        <v/>
      </c>
    </row>
    <row r="184">
      <c r="B184" s="41" t="n"/>
      <c r="C184" s="18" t="n"/>
      <c r="D184" s="42">
        <f>IF(C184="","",IFERROR(INDEX(TenantProperty,MATCH(C184,Tenants,0)),""))</f>
        <v/>
      </c>
      <c r="E184" s="42">
        <f>IF(C184="","",IFERROR(INDEX(TenantUnit,MATCH(C184,Tenants,0)),""))</f>
        <v/>
      </c>
      <c r="F184" s="18" t="n"/>
      <c r="G184" s="18" t="n"/>
      <c r="H184" s="18" t="n"/>
      <c r="I184" s="18" t="n"/>
      <c r="J184" s="37" t="n"/>
      <c r="K184" s="37" t="n"/>
      <c r="L184" s="43">
        <f>IF(C184="","",SUMIFS($J$7:J184,$C$7:C184,C184)-SUMIFS($K$7:K184,$C$7:C184,C184))</f>
        <v/>
      </c>
      <c r="N184">
        <f>IF(AND(C184&lt;&gt;"",C184='Tenant Statement'!$C$6),COUNTIF($C$7:C184,'Tenant Statement'!$C$6),"")</f>
        <v/>
      </c>
    </row>
    <row r="185">
      <c r="B185" s="41" t="n"/>
      <c r="C185" s="18" t="n"/>
      <c r="D185" s="42">
        <f>IF(C185="","",IFERROR(INDEX(TenantProperty,MATCH(C185,Tenants,0)),""))</f>
        <v/>
      </c>
      <c r="E185" s="42">
        <f>IF(C185="","",IFERROR(INDEX(TenantUnit,MATCH(C185,Tenants,0)),""))</f>
        <v/>
      </c>
      <c r="F185" s="18" t="n"/>
      <c r="G185" s="18" t="n"/>
      <c r="H185" s="18" t="n"/>
      <c r="I185" s="18" t="n"/>
      <c r="J185" s="37" t="n"/>
      <c r="K185" s="37" t="n"/>
      <c r="L185" s="43">
        <f>IF(C185="","",SUMIFS($J$7:J185,$C$7:C185,C185)-SUMIFS($K$7:K185,$C$7:C185,C185))</f>
        <v/>
      </c>
      <c r="N185">
        <f>IF(AND(C185&lt;&gt;"",C185='Tenant Statement'!$C$6),COUNTIF($C$7:C185,'Tenant Statement'!$C$6),"")</f>
        <v/>
      </c>
    </row>
    <row r="186">
      <c r="B186" s="41" t="n"/>
      <c r="C186" s="18" t="n"/>
      <c r="D186" s="42">
        <f>IF(C186="","",IFERROR(INDEX(TenantProperty,MATCH(C186,Tenants,0)),""))</f>
        <v/>
      </c>
      <c r="E186" s="42">
        <f>IF(C186="","",IFERROR(INDEX(TenantUnit,MATCH(C186,Tenants,0)),""))</f>
        <v/>
      </c>
      <c r="F186" s="18" t="n"/>
      <c r="G186" s="18" t="n"/>
      <c r="H186" s="18" t="n"/>
      <c r="I186" s="18" t="n"/>
      <c r="J186" s="37" t="n"/>
      <c r="K186" s="37" t="n"/>
      <c r="L186" s="43">
        <f>IF(C186="","",SUMIFS($J$7:J186,$C$7:C186,C186)-SUMIFS($K$7:K186,$C$7:C186,C186))</f>
        <v/>
      </c>
      <c r="N186">
        <f>IF(AND(C186&lt;&gt;"",C186='Tenant Statement'!$C$6),COUNTIF($C$7:C186,'Tenant Statement'!$C$6),"")</f>
        <v/>
      </c>
    </row>
    <row r="187">
      <c r="B187" s="41" t="n"/>
      <c r="C187" s="18" t="n"/>
      <c r="D187" s="42">
        <f>IF(C187="","",IFERROR(INDEX(TenantProperty,MATCH(C187,Tenants,0)),""))</f>
        <v/>
      </c>
      <c r="E187" s="42">
        <f>IF(C187="","",IFERROR(INDEX(TenantUnit,MATCH(C187,Tenants,0)),""))</f>
        <v/>
      </c>
      <c r="F187" s="18" t="n"/>
      <c r="G187" s="18" t="n"/>
      <c r="H187" s="18" t="n"/>
      <c r="I187" s="18" t="n"/>
      <c r="J187" s="37" t="n"/>
      <c r="K187" s="37" t="n"/>
      <c r="L187" s="43">
        <f>IF(C187="","",SUMIFS($J$7:J187,$C$7:C187,C187)-SUMIFS($K$7:K187,$C$7:C187,C187))</f>
        <v/>
      </c>
      <c r="N187">
        <f>IF(AND(C187&lt;&gt;"",C187='Tenant Statement'!$C$6),COUNTIF($C$7:C187,'Tenant Statement'!$C$6),"")</f>
        <v/>
      </c>
    </row>
    <row r="188">
      <c r="B188" s="41" t="n"/>
      <c r="C188" s="18" t="n"/>
      <c r="D188" s="42">
        <f>IF(C188="","",IFERROR(INDEX(TenantProperty,MATCH(C188,Tenants,0)),""))</f>
        <v/>
      </c>
      <c r="E188" s="42">
        <f>IF(C188="","",IFERROR(INDEX(TenantUnit,MATCH(C188,Tenants,0)),""))</f>
        <v/>
      </c>
      <c r="F188" s="18" t="n"/>
      <c r="G188" s="18" t="n"/>
      <c r="H188" s="18" t="n"/>
      <c r="I188" s="18" t="n"/>
      <c r="J188" s="37" t="n"/>
      <c r="K188" s="37" t="n"/>
      <c r="L188" s="43">
        <f>IF(C188="","",SUMIFS($J$7:J188,$C$7:C188,C188)-SUMIFS($K$7:K188,$C$7:C188,C188))</f>
        <v/>
      </c>
      <c r="N188">
        <f>IF(AND(C188&lt;&gt;"",C188='Tenant Statement'!$C$6),COUNTIF($C$7:C188,'Tenant Statement'!$C$6),"")</f>
        <v/>
      </c>
    </row>
    <row r="189">
      <c r="B189" s="41" t="n"/>
      <c r="C189" s="18" t="n"/>
      <c r="D189" s="42">
        <f>IF(C189="","",IFERROR(INDEX(TenantProperty,MATCH(C189,Tenants,0)),""))</f>
        <v/>
      </c>
      <c r="E189" s="42">
        <f>IF(C189="","",IFERROR(INDEX(TenantUnit,MATCH(C189,Tenants,0)),""))</f>
        <v/>
      </c>
      <c r="F189" s="18" t="n"/>
      <c r="G189" s="18" t="n"/>
      <c r="H189" s="18" t="n"/>
      <c r="I189" s="18" t="n"/>
      <c r="J189" s="37" t="n"/>
      <c r="K189" s="37" t="n"/>
      <c r="L189" s="43">
        <f>IF(C189="","",SUMIFS($J$7:J189,$C$7:C189,C189)-SUMIFS($K$7:K189,$C$7:C189,C189))</f>
        <v/>
      </c>
      <c r="N189">
        <f>IF(AND(C189&lt;&gt;"",C189='Tenant Statement'!$C$6),COUNTIF($C$7:C189,'Tenant Statement'!$C$6),"")</f>
        <v/>
      </c>
    </row>
    <row r="190">
      <c r="B190" s="41" t="n"/>
      <c r="C190" s="18" t="n"/>
      <c r="D190" s="42">
        <f>IF(C190="","",IFERROR(INDEX(TenantProperty,MATCH(C190,Tenants,0)),""))</f>
        <v/>
      </c>
      <c r="E190" s="42">
        <f>IF(C190="","",IFERROR(INDEX(TenantUnit,MATCH(C190,Tenants,0)),""))</f>
        <v/>
      </c>
      <c r="F190" s="18" t="n"/>
      <c r="G190" s="18" t="n"/>
      <c r="H190" s="18" t="n"/>
      <c r="I190" s="18" t="n"/>
      <c r="J190" s="37" t="n"/>
      <c r="K190" s="37" t="n"/>
      <c r="L190" s="43">
        <f>IF(C190="","",SUMIFS($J$7:J190,$C$7:C190,C190)-SUMIFS($K$7:K190,$C$7:C190,C190))</f>
        <v/>
      </c>
      <c r="N190">
        <f>IF(AND(C190&lt;&gt;"",C190='Tenant Statement'!$C$6),COUNTIF($C$7:C190,'Tenant Statement'!$C$6),"")</f>
        <v/>
      </c>
    </row>
    <row r="191">
      <c r="B191" s="41" t="n"/>
      <c r="C191" s="18" t="n"/>
      <c r="D191" s="42">
        <f>IF(C191="","",IFERROR(INDEX(TenantProperty,MATCH(C191,Tenants,0)),""))</f>
        <v/>
      </c>
      <c r="E191" s="42">
        <f>IF(C191="","",IFERROR(INDEX(TenantUnit,MATCH(C191,Tenants,0)),""))</f>
        <v/>
      </c>
      <c r="F191" s="18" t="n"/>
      <c r="G191" s="18" t="n"/>
      <c r="H191" s="18" t="n"/>
      <c r="I191" s="18" t="n"/>
      <c r="J191" s="37" t="n"/>
      <c r="K191" s="37" t="n"/>
      <c r="L191" s="43">
        <f>IF(C191="","",SUMIFS($J$7:J191,$C$7:C191,C191)-SUMIFS($K$7:K191,$C$7:C191,C191))</f>
        <v/>
      </c>
      <c r="N191">
        <f>IF(AND(C191&lt;&gt;"",C191='Tenant Statement'!$C$6),COUNTIF($C$7:C191,'Tenant Statement'!$C$6),"")</f>
        <v/>
      </c>
    </row>
    <row r="192">
      <c r="B192" s="41" t="n"/>
      <c r="C192" s="18" t="n"/>
      <c r="D192" s="42">
        <f>IF(C192="","",IFERROR(INDEX(TenantProperty,MATCH(C192,Tenants,0)),""))</f>
        <v/>
      </c>
      <c r="E192" s="42">
        <f>IF(C192="","",IFERROR(INDEX(TenantUnit,MATCH(C192,Tenants,0)),""))</f>
        <v/>
      </c>
      <c r="F192" s="18" t="n"/>
      <c r="G192" s="18" t="n"/>
      <c r="H192" s="18" t="n"/>
      <c r="I192" s="18" t="n"/>
      <c r="J192" s="37" t="n"/>
      <c r="K192" s="37" t="n"/>
      <c r="L192" s="43">
        <f>IF(C192="","",SUMIFS($J$7:J192,$C$7:C192,C192)-SUMIFS($K$7:K192,$C$7:C192,C192))</f>
        <v/>
      </c>
      <c r="N192">
        <f>IF(AND(C192&lt;&gt;"",C192='Tenant Statement'!$C$6),COUNTIF($C$7:C192,'Tenant Statement'!$C$6),"")</f>
        <v/>
      </c>
    </row>
    <row r="193">
      <c r="B193" s="41" t="n"/>
      <c r="C193" s="18" t="n"/>
      <c r="D193" s="42">
        <f>IF(C193="","",IFERROR(INDEX(TenantProperty,MATCH(C193,Tenants,0)),""))</f>
        <v/>
      </c>
      <c r="E193" s="42">
        <f>IF(C193="","",IFERROR(INDEX(TenantUnit,MATCH(C193,Tenants,0)),""))</f>
        <v/>
      </c>
      <c r="F193" s="18" t="n"/>
      <c r="G193" s="18" t="n"/>
      <c r="H193" s="18" t="n"/>
      <c r="I193" s="18" t="n"/>
      <c r="J193" s="37" t="n"/>
      <c r="K193" s="37" t="n"/>
      <c r="L193" s="43">
        <f>IF(C193="","",SUMIFS($J$7:J193,$C$7:C193,C193)-SUMIFS($K$7:K193,$C$7:C193,C193))</f>
        <v/>
      </c>
      <c r="N193">
        <f>IF(AND(C193&lt;&gt;"",C193='Tenant Statement'!$C$6),COUNTIF($C$7:C193,'Tenant Statement'!$C$6),"")</f>
        <v/>
      </c>
    </row>
    <row r="194">
      <c r="B194" s="41" t="n"/>
      <c r="C194" s="18" t="n"/>
      <c r="D194" s="42">
        <f>IF(C194="","",IFERROR(INDEX(TenantProperty,MATCH(C194,Tenants,0)),""))</f>
        <v/>
      </c>
      <c r="E194" s="42">
        <f>IF(C194="","",IFERROR(INDEX(TenantUnit,MATCH(C194,Tenants,0)),""))</f>
        <v/>
      </c>
      <c r="F194" s="18" t="n"/>
      <c r="G194" s="18" t="n"/>
      <c r="H194" s="18" t="n"/>
      <c r="I194" s="18" t="n"/>
      <c r="J194" s="37" t="n"/>
      <c r="K194" s="37" t="n"/>
      <c r="L194" s="43">
        <f>IF(C194="","",SUMIFS($J$7:J194,$C$7:C194,C194)-SUMIFS($K$7:K194,$C$7:C194,C194))</f>
        <v/>
      </c>
      <c r="N194">
        <f>IF(AND(C194&lt;&gt;"",C194='Tenant Statement'!$C$6),COUNTIF($C$7:C194,'Tenant Statement'!$C$6),"")</f>
        <v/>
      </c>
    </row>
    <row r="195">
      <c r="B195" s="41" t="n"/>
      <c r="C195" s="18" t="n"/>
      <c r="D195" s="42">
        <f>IF(C195="","",IFERROR(INDEX(TenantProperty,MATCH(C195,Tenants,0)),""))</f>
        <v/>
      </c>
      <c r="E195" s="42">
        <f>IF(C195="","",IFERROR(INDEX(TenantUnit,MATCH(C195,Tenants,0)),""))</f>
        <v/>
      </c>
      <c r="F195" s="18" t="n"/>
      <c r="G195" s="18" t="n"/>
      <c r="H195" s="18" t="n"/>
      <c r="I195" s="18" t="n"/>
      <c r="J195" s="37" t="n"/>
      <c r="K195" s="37" t="n"/>
      <c r="L195" s="43">
        <f>IF(C195="","",SUMIFS($J$7:J195,$C$7:C195,C195)-SUMIFS($K$7:K195,$C$7:C195,C195))</f>
        <v/>
      </c>
      <c r="N195">
        <f>IF(AND(C195&lt;&gt;"",C195='Tenant Statement'!$C$6),COUNTIF($C$7:C195,'Tenant Statement'!$C$6),"")</f>
        <v/>
      </c>
    </row>
    <row r="196">
      <c r="B196" s="41" t="n"/>
      <c r="C196" s="18" t="n"/>
      <c r="D196" s="42">
        <f>IF(C196="","",IFERROR(INDEX(TenantProperty,MATCH(C196,Tenants,0)),""))</f>
        <v/>
      </c>
      <c r="E196" s="42">
        <f>IF(C196="","",IFERROR(INDEX(TenantUnit,MATCH(C196,Tenants,0)),""))</f>
        <v/>
      </c>
      <c r="F196" s="18" t="n"/>
      <c r="G196" s="18" t="n"/>
      <c r="H196" s="18" t="n"/>
      <c r="I196" s="18" t="n"/>
      <c r="J196" s="37" t="n"/>
      <c r="K196" s="37" t="n"/>
      <c r="L196" s="43">
        <f>IF(C196="","",SUMIFS($J$7:J196,$C$7:C196,C196)-SUMIFS($K$7:K196,$C$7:C196,C196))</f>
        <v/>
      </c>
      <c r="N196">
        <f>IF(AND(C196&lt;&gt;"",C196='Tenant Statement'!$C$6),COUNTIF($C$7:C196,'Tenant Statement'!$C$6),"")</f>
        <v/>
      </c>
    </row>
    <row r="197">
      <c r="B197" s="41" t="n"/>
      <c r="C197" s="18" t="n"/>
      <c r="D197" s="42">
        <f>IF(C197="","",IFERROR(INDEX(TenantProperty,MATCH(C197,Tenants,0)),""))</f>
        <v/>
      </c>
      <c r="E197" s="42">
        <f>IF(C197="","",IFERROR(INDEX(TenantUnit,MATCH(C197,Tenants,0)),""))</f>
        <v/>
      </c>
      <c r="F197" s="18" t="n"/>
      <c r="G197" s="18" t="n"/>
      <c r="H197" s="18" t="n"/>
      <c r="I197" s="18" t="n"/>
      <c r="J197" s="37" t="n"/>
      <c r="K197" s="37" t="n"/>
      <c r="L197" s="43">
        <f>IF(C197="","",SUMIFS($J$7:J197,$C$7:C197,C197)-SUMIFS($K$7:K197,$C$7:C197,C197))</f>
        <v/>
      </c>
      <c r="N197">
        <f>IF(AND(C197&lt;&gt;"",C197='Tenant Statement'!$C$6),COUNTIF($C$7:C197,'Tenant Statement'!$C$6),"")</f>
        <v/>
      </c>
    </row>
    <row r="198">
      <c r="B198" s="41" t="n"/>
      <c r="C198" s="18" t="n"/>
      <c r="D198" s="42">
        <f>IF(C198="","",IFERROR(INDEX(TenantProperty,MATCH(C198,Tenants,0)),""))</f>
        <v/>
      </c>
      <c r="E198" s="42">
        <f>IF(C198="","",IFERROR(INDEX(TenantUnit,MATCH(C198,Tenants,0)),""))</f>
        <v/>
      </c>
      <c r="F198" s="18" t="n"/>
      <c r="G198" s="18" t="n"/>
      <c r="H198" s="18" t="n"/>
      <c r="I198" s="18" t="n"/>
      <c r="J198" s="37" t="n"/>
      <c r="K198" s="37" t="n"/>
      <c r="L198" s="43">
        <f>IF(C198="","",SUMIFS($J$7:J198,$C$7:C198,C198)-SUMIFS($K$7:K198,$C$7:C198,C198))</f>
        <v/>
      </c>
      <c r="N198">
        <f>IF(AND(C198&lt;&gt;"",C198='Tenant Statement'!$C$6),COUNTIF($C$7:C198,'Tenant Statement'!$C$6),"")</f>
        <v/>
      </c>
    </row>
    <row r="199">
      <c r="B199" s="41" t="n"/>
      <c r="C199" s="18" t="n"/>
      <c r="D199" s="42">
        <f>IF(C199="","",IFERROR(INDEX(TenantProperty,MATCH(C199,Tenants,0)),""))</f>
        <v/>
      </c>
      <c r="E199" s="42">
        <f>IF(C199="","",IFERROR(INDEX(TenantUnit,MATCH(C199,Tenants,0)),""))</f>
        <v/>
      </c>
      <c r="F199" s="18" t="n"/>
      <c r="G199" s="18" t="n"/>
      <c r="H199" s="18" t="n"/>
      <c r="I199" s="18" t="n"/>
      <c r="J199" s="37" t="n"/>
      <c r="K199" s="37" t="n"/>
      <c r="L199" s="43">
        <f>IF(C199="","",SUMIFS($J$7:J199,$C$7:C199,C199)-SUMIFS($K$7:K199,$C$7:C199,C199))</f>
        <v/>
      </c>
      <c r="N199">
        <f>IF(AND(C199&lt;&gt;"",C199='Tenant Statement'!$C$6),COUNTIF($C$7:C199,'Tenant Statement'!$C$6),"")</f>
        <v/>
      </c>
    </row>
    <row r="200">
      <c r="B200" s="41" t="n"/>
      <c r="C200" s="18" t="n"/>
      <c r="D200" s="42">
        <f>IF(C200="","",IFERROR(INDEX(TenantProperty,MATCH(C200,Tenants,0)),""))</f>
        <v/>
      </c>
      <c r="E200" s="42">
        <f>IF(C200="","",IFERROR(INDEX(TenantUnit,MATCH(C200,Tenants,0)),""))</f>
        <v/>
      </c>
      <c r="F200" s="18" t="n"/>
      <c r="G200" s="18" t="n"/>
      <c r="H200" s="18" t="n"/>
      <c r="I200" s="18" t="n"/>
      <c r="J200" s="37" t="n"/>
      <c r="K200" s="37" t="n"/>
      <c r="L200" s="43">
        <f>IF(C200="","",SUMIFS($J$7:J200,$C$7:C200,C200)-SUMIFS($K$7:K200,$C$7:C200,C200))</f>
        <v/>
      </c>
      <c r="N200">
        <f>IF(AND(C200&lt;&gt;"",C200='Tenant Statement'!$C$6),COUNTIF($C$7:C200,'Tenant Statement'!$C$6),"")</f>
        <v/>
      </c>
    </row>
    <row r="201">
      <c r="B201" s="41" t="n"/>
      <c r="C201" s="18" t="n"/>
      <c r="D201" s="42">
        <f>IF(C201="","",IFERROR(INDEX(TenantProperty,MATCH(C201,Tenants,0)),""))</f>
        <v/>
      </c>
      <c r="E201" s="42">
        <f>IF(C201="","",IFERROR(INDEX(TenantUnit,MATCH(C201,Tenants,0)),""))</f>
        <v/>
      </c>
      <c r="F201" s="18" t="n"/>
      <c r="G201" s="18" t="n"/>
      <c r="H201" s="18" t="n"/>
      <c r="I201" s="18" t="n"/>
      <c r="J201" s="37" t="n"/>
      <c r="K201" s="37" t="n"/>
      <c r="L201" s="43">
        <f>IF(C201="","",SUMIFS($J$7:J201,$C$7:C201,C201)-SUMIFS($K$7:K201,$C$7:C201,C201))</f>
        <v/>
      </c>
      <c r="N201">
        <f>IF(AND(C201&lt;&gt;"",C201='Tenant Statement'!$C$6),COUNTIF($C$7:C201,'Tenant Statement'!$C$6),"")</f>
        <v/>
      </c>
    </row>
    <row r="202">
      <c r="B202" s="41" t="n"/>
      <c r="C202" s="18" t="n"/>
      <c r="D202" s="42">
        <f>IF(C202="","",IFERROR(INDEX(TenantProperty,MATCH(C202,Tenants,0)),""))</f>
        <v/>
      </c>
      <c r="E202" s="42">
        <f>IF(C202="","",IFERROR(INDEX(TenantUnit,MATCH(C202,Tenants,0)),""))</f>
        <v/>
      </c>
      <c r="F202" s="18" t="n"/>
      <c r="G202" s="18" t="n"/>
      <c r="H202" s="18" t="n"/>
      <c r="I202" s="18" t="n"/>
      <c r="J202" s="37" t="n"/>
      <c r="K202" s="37" t="n"/>
      <c r="L202" s="43">
        <f>IF(C202="","",SUMIFS($J$7:J202,$C$7:C202,C202)-SUMIFS($K$7:K202,$C$7:C202,C202))</f>
        <v/>
      </c>
      <c r="N202">
        <f>IF(AND(C202&lt;&gt;"",C202='Tenant Statement'!$C$6),COUNTIF($C$7:C202,'Tenant Statement'!$C$6),"")</f>
        <v/>
      </c>
    </row>
    <row r="203">
      <c r="B203" s="41" t="n"/>
      <c r="C203" s="18" t="n"/>
      <c r="D203" s="42">
        <f>IF(C203="","",IFERROR(INDEX(TenantProperty,MATCH(C203,Tenants,0)),""))</f>
        <v/>
      </c>
      <c r="E203" s="42">
        <f>IF(C203="","",IFERROR(INDEX(TenantUnit,MATCH(C203,Tenants,0)),""))</f>
        <v/>
      </c>
      <c r="F203" s="18" t="n"/>
      <c r="G203" s="18" t="n"/>
      <c r="H203" s="18" t="n"/>
      <c r="I203" s="18" t="n"/>
      <c r="J203" s="37" t="n"/>
      <c r="K203" s="37" t="n"/>
      <c r="L203" s="43">
        <f>IF(C203="","",SUMIFS($J$7:J203,$C$7:C203,C203)-SUMIFS($K$7:K203,$C$7:C203,C203))</f>
        <v/>
      </c>
      <c r="N203">
        <f>IF(AND(C203&lt;&gt;"",C203='Tenant Statement'!$C$6),COUNTIF($C$7:C203,'Tenant Statement'!$C$6),"")</f>
        <v/>
      </c>
    </row>
    <row r="204">
      <c r="B204" s="41" t="n"/>
      <c r="C204" s="18" t="n"/>
      <c r="D204" s="42">
        <f>IF(C204="","",IFERROR(INDEX(TenantProperty,MATCH(C204,Tenants,0)),""))</f>
        <v/>
      </c>
      <c r="E204" s="42">
        <f>IF(C204="","",IFERROR(INDEX(TenantUnit,MATCH(C204,Tenants,0)),""))</f>
        <v/>
      </c>
      <c r="F204" s="18" t="n"/>
      <c r="G204" s="18" t="n"/>
      <c r="H204" s="18" t="n"/>
      <c r="I204" s="18" t="n"/>
      <c r="J204" s="37" t="n"/>
      <c r="K204" s="37" t="n"/>
      <c r="L204" s="43">
        <f>IF(C204="","",SUMIFS($J$7:J204,$C$7:C204,C204)-SUMIFS($K$7:K204,$C$7:C204,C204))</f>
        <v/>
      </c>
      <c r="N204">
        <f>IF(AND(C204&lt;&gt;"",C204='Tenant Statement'!$C$6),COUNTIF($C$7:C204,'Tenant Statement'!$C$6),"")</f>
        <v/>
      </c>
    </row>
    <row r="205">
      <c r="B205" s="41" t="n"/>
      <c r="C205" s="18" t="n"/>
      <c r="D205" s="42">
        <f>IF(C205="","",IFERROR(INDEX(TenantProperty,MATCH(C205,Tenants,0)),""))</f>
        <v/>
      </c>
      <c r="E205" s="42">
        <f>IF(C205="","",IFERROR(INDEX(TenantUnit,MATCH(C205,Tenants,0)),""))</f>
        <v/>
      </c>
      <c r="F205" s="18" t="n"/>
      <c r="G205" s="18" t="n"/>
      <c r="H205" s="18" t="n"/>
      <c r="I205" s="18" t="n"/>
      <c r="J205" s="37" t="n"/>
      <c r="K205" s="37" t="n"/>
      <c r="L205" s="43">
        <f>IF(C205="","",SUMIFS($J$7:J205,$C$7:C205,C205)-SUMIFS($K$7:K205,$C$7:C205,C205))</f>
        <v/>
      </c>
      <c r="N205">
        <f>IF(AND(C205&lt;&gt;"",C205='Tenant Statement'!$C$6),COUNTIF($C$7:C205,'Tenant Statement'!$C$6),"")</f>
        <v/>
      </c>
    </row>
    <row r="206">
      <c r="B206" s="41" t="n"/>
      <c r="C206" s="18" t="n"/>
      <c r="D206" s="42">
        <f>IF(C206="","",IFERROR(INDEX(TenantProperty,MATCH(C206,Tenants,0)),""))</f>
        <v/>
      </c>
      <c r="E206" s="42">
        <f>IF(C206="","",IFERROR(INDEX(TenantUnit,MATCH(C206,Tenants,0)),""))</f>
        <v/>
      </c>
      <c r="F206" s="18" t="n"/>
      <c r="G206" s="18" t="n"/>
      <c r="H206" s="18" t="n"/>
      <c r="I206" s="18" t="n"/>
      <c r="J206" s="37" t="n"/>
      <c r="K206" s="37" t="n"/>
      <c r="L206" s="43">
        <f>IF(C206="","",SUMIFS($J$7:J206,$C$7:C206,C206)-SUMIFS($K$7:K206,$C$7:C206,C206))</f>
        <v/>
      </c>
      <c r="N206">
        <f>IF(AND(C206&lt;&gt;"",C206='Tenant Statement'!$C$6),COUNTIF($C$7:C206,'Tenant Statement'!$C$6),"")</f>
        <v/>
      </c>
    </row>
    <row r="207">
      <c r="B207" s="41" t="n"/>
      <c r="C207" s="18" t="n"/>
      <c r="D207" s="42">
        <f>IF(C207="","",IFERROR(INDEX(TenantProperty,MATCH(C207,Tenants,0)),""))</f>
        <v/>
      </c>
      <c r="E207" s="42">
        <f>IF(C207="","",IFERROR(INDEX(TenantUnit,MATCH(C207,Tenants,0)),""))</f>
        <v/>
      </c>
      <c r="F207" s="18" t="n"/>
      <c r="G207" s="18" t="n"/>
      <c r="H207" s="18" t="n"/>
      <c r="I207" s="18" t="n"/>
      <c r="J207" s="37" t="n"/>
      <c r="K207" s="37" t="n"/>
      <c r="L207" s="43">
        <f>IF(C207="","",SUMIFS($J$7:J207,$C$7:C207,C207)-SUMIFS($K$7:K207,$C$7:C207,C207))</f>
        <v/>
      </c>
      <c r="N207">
        <f>IF(AND(C207&lt;&gt;"",C207='Tenant Statement'!$C$6),COUNTIF($C$7:C207,'Tenant Statement'!$C$6),"")</f>
        <v/>
      </c>
    </row>
    <row r="208">
      <c r="B208" s="41" t="n"/>
      <c r="C208" s="18" t="n"/>
      <c r="D208" s="42">
        <f>IF(C208="","",IFERROR(INDEX(TenantProperty,MATCH(C208,Tenants,0)),""))</f>
        <v/>
      </c>
      <c r="E208" s="42">
        <f>IF(C208="","",IFERROR(INDEX(TenantUnit,MATCH(C208,Tenants,0)),""))</f>
        <v/>
      </c>
      <c r="F208" s="18" t="n"/>
      <c r="G208" s="18" t="n"/>
      <c r="H208" s="18" t="n"/>
      <c r="I208" s="18" t="n"/>
      <c r="J208" s="37" t="n"/>
      <c r="K208" s="37" t="n"/>
      <c r="L208" s="43">
        <f>IF(C208="","",SUMIFS($J$7:J208,$C$7:C208,C208)-SUMIFS($K$7:K208,$C$7:C208,C208))</f>
        <v/>
      </c>
      <c r="N208">
        <f>IF(AND(C208&lt;&gt;"",C208='Tenant Statement'!$C$6),COUNTIF($C$7:C208,'Tenant Statement'!$C$6),"")</f>
        <v/>
      </c>
    </row>
    <row r="209">
      <c r="B209" s="41" t="n"/>
      <c r="C209" s="18" t="n"/>
      <c r="D209" s="42">
        <f>IF(C209="","",IFERROR(INDEX(TenantProperty,MATCH(C209,Tenants,0)),""))</f>
        <v/>
      </c>
      <c r="E209" s="42">
        <f>IF(C209="","",IFERROR(INDEX(TenantUnit,MATCH(C209,Tenants,0)),""))</f>
        <v/>
      </c>
      <c r="F209" s="18" t="n"/>
      <c r="G209" s="18" t="n"/>
      <c r="H209" s="18" t="n"/>
      <c r="I209" s="18" t="n"/>
      <c r="J209" s="37" t="n"/>
      <c r="K209" s="37" t="n"/>
      <c r="L209" s="43">
        <f>IF(C209="","",SUMIFS($J$7:J209,$C$7:C209,C209)-SUMIFS($K$7:K209,$C$7:C209,C209))</f>
        <v/>
      </c>
      <c r="N209">
        <f>IF(AND(C209&lt;&gt;"",C209='Tenant Statement'!$C$6),COUNTIF($C$7:C209,'Tenant Statement'!$C$6),"")</f>
        <v/>
      </c>
    </row>
    <row r="210">
      <c r="B210" s="41" t="n"/>
      <c r="C210" s="18" t="n"/>
      <c r="D210" s="42">
        <f>IF(C210="","",IFERROR(INDEX(TenantProperty,MATCH(C210,Tenants,0)),""))</f>
        <v/>
      </c>
      <c r="E210" s="42">
        <f>IF(C210="","",IFERROR(INDEX(TenantUnit,MATCH(C210,Tenants,0)),""))</f>
        <v/>
      </c>
      <c r="F210" s="18" t="n"/>
      <c r="G210" s="18" t="n"/>
      <c r="H210" s="18" t="n"/>
      <c r="I210" s="18" t="n"/>
      <c r="J210" s="37" t="n"/>
      <c r="K210" s="37" t="n"/>
      <c r="L210" s="43">
        <f>IF(C210="","",SUMIFS($J$7:J210,$C$7:C210,C210)-SUMIFS($K$7:K210,$C$7:C210,C210))</f>
        <v/>
      </c>
      <c r="N210">
        <f>IF(AND(C210&lt;&gt;"",C210='Tenant Statement'!$C$6),COUNTIF($C$7:C210,'Tenant Statement'!$C$6),"")</f>
        <v/>
      </c>
    </row>
    <row r="211">
      <c r="B211" s="41" t="n"/>
      <c r="C211" s="18" t="n"/>
      <c r="D211" s="42">
        <f>IF(C211="","",IFERROR(INDEX(TenantProperty,MATCH(C211,Tenants,0)),""))</f>
        <v/>
      </c>
      <c r="E211" s="42">
        <f>IF(C211="","",IFERROR(INDEX(TenantUnit,MATCH(C211,Tenants,0)),""))</f>
        <v/>
      </c>
      <c r="F211" s="18" t="n"/>
      <c r="G211" s="18" t="n"/>
      <c r="H211" s="18" t="n"/>
      <c r="I211" s="18" t="n"/>
      <c r="J211" s="37" t="n"/>
      <c r="K211" s="37" t="n"/>
      <c r="L211" s="43">
        <f>IF(C211="","",SUMIFS($J$7:J211,$C$7:C211,C211)-SUMIFS($K$7:K211,$C$7:C211,C211))</f>
        <v/>
      </c>
      <c r="N211">
        <f>IF(AND(C211&lt;&gt;"",C211='Tenant Statement'!$C$6),COUNTIF($C$7:C211,'Tenant Statement'!$C$6),"")</f>
        <v/>
      </c>
    </row>
    <row r="212">
      <c r="B212" s="41" t="n"/>
      <c r="C212" s="18" t="n"/>
      <c r="D212" s="42">
        <f>IF(C212="","",IFERROR(INDEX(TenantProperty,MATCH(C212,Tenants,0)),""))</f>
        <v/>
      </c>
      <c r="E212" s="42">
        <f>IF(C212="","",IFERROR(INDEX(TenantUnit,MATCH(C212,Tenants,0)),""))</f>
        <v/>
      </c>
      <c r="F212" s="18" t="n"/>
      <c r="G212" s="18" t="n"/>
      <c r="H212" s="18" t="n"/>
      <c r="I212" s="18" t="n"/>
      <c r="J212" s="37" t="n"/>
      <c r="K212" s="37" t="n"/>
      <c r="L212" s="43">
        <f>IF(C212="","",SUMIFS($J$7:J212,$C$7:C212,C212)-SUMIFS($K$7:K212,$C$7:C212,C212))</f>
        <v/>
      </c>
      <c r="N212">
        <f>IF(AND(C212&lt;&gt;"",C212='Tenant Statement'!$C$6),COUNTIF($C$7:C212,'Tenant Statement'!$C$6),"")</f>
        <v/>
      </c>
    </row>
    <row r="213">
      <c r="B213" s="41" t="n"/>
      <c r="C213" s="18" t="n"/>
      <c r="D213" s="42">
        <f>IF(C213="","",IFERROR(INDEX(TenantProperty,MATCH(C213,Tenants,0)),""))</f>
        <v/>
      </c>
      <c r="E213" s="42">
        <f>IF(C213="","",IFERROR(INDEX(TenantUnit,MATCH(C213,Tenants,0)),""))</f>
        <v/>
      </c>
      <c r="F213" s="18" t="n"/>
      <c r="G213" s="18" t="n"/>
      <c r="H213" s="18" t="n"/>
      <c r="I213" s="18" t="n"/>
      <c r="J213" s="37" t="n"/>
      <c r="K213" s="37" t="n"/>
      <c r="L213" s="43">
        <f>IF(C213="","",SUMIFS($J$7:J213,$C$7:C213,C213)-SUMIFS($K$7:K213,$C$7:C213,C213))</f>
        <v/>
      </c>
      <c r="N213">
        <f>IF(AND(C213&lt;&gt;"",C213='Tenant Statement'!$C$6),COUNTIF($C$7:C213,'Tenant Statement'!$C$6),"")</f>
        <v/>
      </c>
    </row>
    <row r="214">
      <c r="B214" s="41" t="n"/>
      <c r="C214" s="18" t="n"/>
      <c r="D214" s="42">
        <f>IF(C214="","",IFERROR(INDEX(TenantProperty,MATCH(C214,Tenants,0)),""))</f>
        <v/>
      </c>
      <c r="E214" s="42">
        <f>IF(C214="","",IFERROR(INDEX(TenantUnit,MATCH(C214,Tenants,0)),""))</f>
        <v/>
      </c>
      <c r="F214" s="18" t="n"/>
      <c r="G214" s="18" t="n"/>
      <c r="H214" s="18" t="n"/>
      <c r="I214" s="18" t="n"/>
      <c r="J214" s="37" t="n"/>
      <c r="K214" s="37" t="n"/>
      <c r="L214" s="43">
        <f>IF(C214="","",SUMIFS($J$7:J214,$C$7:C214,C214)-SUMIFS($K$7:K214,$C$7:C214,C214))</f>
        <v/>
      </c>
      <c r="N214">
        <f>IF(AND(C214&lt;&gt;"",C214='Tenant Statement'!$C$6),COUNTIF($C$7:C214,'Tenant Statement'!$C$6),"")</f>
        <v/>
      </c>
    </row>
    <row r="215">
      <c r="B215" s="41" t="n"/>
      <c r="C215" s="18" t="n"/>
      <c r="D215" s="42">
        <f>IF(C215="","",IFERROR(INDEX(TenantProperty,MATCH(C215,Tenants,0)),""))</f>
        <v/>
      </c>
      <c r="E215" s="42">
        <f>IF(C215="","",IFERROR(INDEX(TenantUnit,MATCH(C215,Tenants,0)),""))</f>
        <v/>
      </c>
      <c r="F215" s="18" t="n"/>
      <c r="G215" s="18" t="n"/>
      <c r="H215" s="18" t="n"/>
      <c r="I215" s="18" t="n"/>
      <c r="J215" s="37" t="n"/>
      <c r="K215" s="37" t="n"/>
      <c r="L215" s="43">
        <f>IF(C215="","",SUMIFS($J$7:J215,$C$7:C215,C215)-SUMIFS($K$7:K215,$C$7:C215,C215))</f>
        <v/>
      </c>
      <c r="N215">
        <f>IF(AND(C215&lt;&gt;"",C215='Tenant Statement'!$C$6),COUNTIF($C$7:C215,'Tenant Statement'!$C$6),"")</f>
        <v/>
      </c>
    </row>
    <row r="216">
      <c r="B216" s="41" t="n"/>
      <c r="C216" s="18" t="n"/>
      <c r="D216" s="42">
        <f>IF(C216="","",IFERROR(INDEX(TenantProperty,MATCH(C216,Tenants,0)),""))</f>
        <v/>
      </c>
      <c r="E216" s="42">
        <f>IF(C216="","",IFERROR(INDEX(TenantUnit,MATCH(C216,Tenants,0)),""))</f>
        <v/>
      </c>
      <c r="F216" s="18" t="n"/>
      <c r="G216" s="18" t="n"/>
      <c r="H216" s="18" t="n"/>
      <c r="I216" s="18" t="n"/>
      <c r="J216" s="37" t="n"/>
      <c r="K216" s="37" t="n"/>
      <c r="L216" s="43">
        <f>IF(C216="","",SUMIFS($J$7:J216,$C$7:C216,C216)-SUMIFS($K$7:K216,$C$7:C216,C216))</f>
        <v/>
      </c>
      <c r="N216">
        <f>IF(AND(C216&lt;&gt;"",C216='Tenant Statement'!$C$6),COUNTIF($C$7:C216,'Tenant Statement'!$C$6),"")</f>
        <v/>
      </c>
    </row>
    <row r="217">
      <c r="B217" s="41" t="n"/>
      <c r="C217" s="18" t="n"/>
      <c r="D217" s="42">
        <f>IF(C217="","",IFERROR(INDEX(TenantProperty,MATCH(C217,Tenants,0)),""))</f>
        <v/>
      </c>
      <c r="E217" s="42">
        <f>IF(C217="","",IFERROR(INDEX(TenantUnit,MATCH(C217,Tenants,0)),""))</f>
        <v/>
      </c>
      <c r="F217" s="18" t="n"/>
      <c r="G217" s="18" t="n"/>
      <c r="H217" s="18" t="n"/>
      <c r="I217" s="18" t="n"/>
      <c r="J217" s="37" t="n"/>
      <c r="K217" s="37" t="n"/>
      <c r="L217" s="43">
        <f>IF(C217="","",SUMIFS($J$7:J217,$C$7:C217,C217)-SUMIFS($K$7:K217,$C$7:C217,C217))</f>
        <v/>
      </c>
      <c r="N217">
        <f>IF(AND(C217&lt;&gt;"",C217='Tenant Statement'!$C$6),COUNTIF($C$7:C217,'Tenant Statement'!$C$6),"")</f>
        <v/>
      </c>
    </row>
    <row r="218">
      <c r="B218" s="41" t="n"/>
      <c r="C218" s="18" t="n"/>
      <c r="D218" s="42">
        <f>IF(C218="","",IFERROR(INDEX(TenantProperty,MATCH(C218,Tenants,0)),""))</f>
        <v/>
      </c>
      <c r="E218" s="42">
        <f>IF(C218="","",IFERROR(INDEX(TenantUnit,MATCH(C218,Tenants,0)),""))</f>
        <v/>
      </c>
      <c r="F218" s="18" t="n"/>
      <c r="G218" s="18" t="n"/>
      <c r="H218" s="18" t="n"/>
      <c r="I218" s="18" t="n"/>
      <c r="J218" s="37" t="n"/>
      <c r="K218" s="37" t="n"/>
      <c r="L218" s="43">
        <f>IF(C218="","",SUMIFS($J$7:J218,$C$7:C218,C218)-SUMIFS($K$7:K218,$C$7:C218,C218))</f>
        <v/>
      </c>
      <c r="N218">
        <f>IF(AND(C218&lt;&gt;"",C218='Tenant Statement'!$C$6),COUNTIF($C$7:C218,'Tenant Statement'!$C$6),"")</f>
        <v/>
      </c>
    </row>
    <row r="219">
      <c r="B219" s="41" t="n"/>
      <c r="C219" s="18" t="n"/>
      <c r="D219" s="42">
        <f>IF(C219="","",IFERROR(INDEX(TenantProperty,MATCH(C219,Tenants,0)),""))</f>
        <v/>
      </c>
      <c r="E219" s="42">
        <f>IF(C219="","",IFERROR(INDEX(TenantUnit,MATCH(C219,Tenants,0)),""))</f>
        <v/>
      </c>
      <c r="F219" s="18" t="n"/>
      <c r="G219" s="18" t="n"/>
      <c r="H219" s="18" t="n"/>
      <c r="I219" s="18" t="n"/>
      <c r="J219" s="37" t="n"/>
      <c r="K219" s="37" t="n"/>
      <c r="L219" s="43">
        <f>IF(C219="","",SUMIFS($J$7:J219,$C$7:C219,C219)-SUMIFS($K$7:K219,$C$7:C219,C219))</f>
        <v/>
      </c>
      <c r="N219">
        <f>IF(AND(C219&lt;&gt;"",C219='Tenant Statement'!$C$6),COUNTIF($C$7:C219,'Tenant Statement'!$C$6),"")</f>
        <v/>
      </c>
    </row>
    <row r="220">
      <c r="B220" s="41" t="n"/>
      <c r="C220" s="18" t="n"/>
      <c r="D220" s="42">
        <f>IF(C220="","",IFERROR(INDEX(TenantProperty,MATCH(C220,Tenants,0)),""))</f>
        <v/>
      </c>
      <c r="E220" s="42">
        <f>IF(C220="","",IFERROR(INDEX(TenantUnit,MATCH(C220,Tenants,0)),""))</f>
        <v/>
      </c>
      <c r="F220" s="18" t="n"/>
      <c r="G220" s="18" t="n"/>
      <c r="H220" s="18" t="n"/>
      <c r="I220" s="18" t="n"/>
      <c r="J220" s="37" t="n"/>
      <c r="K220" s="37" t="n"/>
      <c r="L220" s="43">
        <f>IF(C220="","",SUMIFS($J$7:J220,$C$7:C220,C220)-SUMIFS($K$7:K220,$C$7:C220,C220))</f>
        <v/>
      </c>
      <c r="N220">
        <f>IF(AND(C220&lt;&gt;"",C220='Tenant Statement'!$C$6),COUNTIF($C$7:C220,'Tenant Statement'!$C$6),"")</f>
        <v/>
      </c>
    </row>
    <row r="221">
      <c r="B221" s="41" t="n"/>
      <c r="C221" s="18" t="n"/>
      <c r="D221" s="42">
        <f>IF(C221="","",IFERROR(INDEX(TenantProperty,MATCH(C221,Tenants,0)),""))</f>
        <v/>
      </c>
      <c r="E221" s="42">
        <f>IF(C221="","",IFERROR(INDEX(TenantUnit,MATCH(C221,Tenants,0)),""))</f>
        <v/>
      </c>
      <c r="F221" s="18" t="n"/>
      <c r="G221" s="18" t="n"/>
      <c r="H221" s="18" t="n"/>
      <c r="I221" s="18" t="n"/>
      <c r="J221" s="37" t="n"/>
      <c r="K221" s="37" t="n"/>
      <c r="L221" s="43">
        <f>IF(C221="","",SUMIFS($J$7:J221,$C$7:C221,C221)-SUMIFS($K$7:K221,$C$7:C221,C221))</f>
        <v/>
      </c>
      <c r="N221">
        <f>IF(AND(C221&lt;&gt;"",C221='Tenant Statement'!$C$6),COUNTIF($C$7:C221,'Tenant Statement'!$C$6),"")</f>
        <v/>
      </c>
    </row>
    <row r="222">
      <c r="B222" s="41" t="n"/>
      <c r="C222" s="18" t="n"/>
      <c r="D222" s="42">
        <f>IF(C222="","",IFERROR(INDEX(TenantProperty,MATCH(C222,Tenants,0)),""))</f>
        <v/>
      </c>
      <c r="E222" s="42">
        <f>IF(C222="","",IFERROR(INDEX(TenantUnit,MATCH(C222,Tenants,0)),""))</f>
        <v/>
      </c>
      <c r="F222" s="18" t="n"/>
      <c r="G222" s="18" t="n"/>
      <c r="H222" s="18" t="n"/>
      <c r="I222" s="18" t="n"/>
      <c r="J222" s="37" t="n"/>
      <c r="K222" s="37" t="n"/>
      <c r="L222" s="43">
        <f>IF(C222="","",SUMIFS($J$7:J222,$C$7:C222,C222)-SUMIFS($K$7:K222,$C$7:C222,C222))</f>
        <v/>
      </c>
      <c r="N222">
        <f>IF(AND(C222&lt;&gt;"",C222='Tenant Statement'!$C$6),COUNTIF($C$7:C222,'Tenant Statement'!$C$6),"")</f>
        <v/>
      </c>
    </row>
    <row r="223">
      <c r="B223" s="41" t="n"/>
      <c r="C223" s="18" t="n"/>
      <c r="D223" s="42">
        <f>IF(C223="","",IFERROR(INDEX(TenantProperty,MATCH(C223,Tenants,0)),""))</f>
        <v/>
      </c>
      <c r="E223" s="42">
        <f>IF(C223="","",IFERROR(INDEX(TenantUnit,MATCH(C223,Tenants,0)),""))</f>
        <v/>
      </c>
      <c r="F223" s="18" t="n"/>
      <c r="G223" s="18" t="n"/>
      <c r="H223" s="18" t="n"/>
      <c r="I223" s="18" t="n"/>
      <c r="J223" s="37" t="n"/>
      <c r="K223" s="37" t="n"/>
      <c r="L223" s="43">
        <f>IF(C223="","",SUMIFS($J$7:J223,$C$7:C223,C223)-SUMIFS($K$7:K223,$C$7:C223,C223))</f>
        <v/>
      </c>
      <c r="N223">
        <f>IF(AND(C223&lt;&gt;"",C223='Tenant Statement'!$C$6),COUNTIF($C$7:C223,'Tenant Statement'!$C$6),"")</f>
        <v/>
      </c>
    </row>
    <row r="224">
      <c r="B224" s="41" t="n"/>
      <c r="C224" s="18" t="n"/>
      <c r="D224" s="42">
        <f>IF(C224="","",IFERROR(INDEX(TenantProperty,MATCH(C224,Tenants,0)),""))</f>
        <v/>
      </c>
      <c r="E224" s="42">
        <f>IF(C224="","",IFERROR(INDEX(TenantUnit,MATCH(C224,Tenants,0)),""))</f>
        <v/>
      </c>
      <c r="F224" s="18" t="n"/>
      <c r="G224" s="18" t="n"/>
      <c r="H224" s="18" t="n"/>
      <c r="I224" s="18" t="n"/>
      <c r="J224" s="37" t="n"/>
      <c r="K224" s="37" t="n"/>
      <c r="L224" s="43">
        <f>IF(C224="","",SUMIFS($J$7:J224,$C$7:C224,C224)-SUMIFS($K$7:K224,$C$7:C224,C224))</f>
        <v/>
      </c>
      <c r="N224">
        <f>IF(AND(C224&lt;&gt;"",C224='Tenant Statement'!$C$6),COUNTIF($C$7:C224,'Tenant Statement'!$C$6),"")</f>
        <v/>
      </c>
    </row>
    <row r="225">
      <c r="B225" s="41" t="n"/>
      <c r="C225" s="18" t="n"/>
      <c r="D225" s="42">
        <f>IF(C225="","",IFERROR(INDEX(TenantProperty,MATCH(C225,Tenants,0)),""))</f>
        <v/>
      </c>
      <c r="E225" s="42">
        <f>IF(C225="","",IFERROR(INDEX(TenantUnit,MATCH(C225,Tenants,0)),""))</f>
        <v/>
      </c>
      <c r="F225" s="18" t="n"/>
      <c r="G225" s="18" t="n"/>
      <c r="H225" s="18" t="n"/>
      <c r="I225" s="18" t="n"/>
      <c r="J225" s="37" t="n"/>
      <c r="K225" s="37" t="n"/>
      <c r="L225" s="43">
        <f>IF(C225="","",SUMIFS($J$7:J225,$C$7:C225,C225)-SUMIFS($K$7:K225,$C$7:C225,C225))</f>
        <v/>
      </c>
      <c r="N225">
        <f>IF(AND(C225&lt;&gt;"",C225='Tenant Statement'!$C$6),COUNTIF($C$7:C225,'Tenant Statement'!$C$6),"")</f>
        <v/>
      </c>
    </row>
    <row r="226">
      <c r="B226" s="41" t="n"/>
      <c r="C226" s="18" t="n"/>
      <c r="D226" s="42">
        <f>IF(C226="","",IFERROR(INDEX(TenantProperty,MATCH(C226,Tenants,0)),""))</f>
        <v/>
      </c>
      <c r="E226" s="42">
        <f>IF(C226="","",IFERROR(INDEX(TenantUnit,MATCH(C226,Tenants,0)),""))</f>
        <v/>
      </c>
      <c r="F226" s="18" t="n"/>
      <c r="G226" s="18" t="n"/>
      <c r="H226" s="18" t="n"/>
      <c r="I226" s="18" t="n"/>
      <c r="J226" s="37" t="n"/>
      <c r="K226" s="37" t="n"/>
      <c r="L226" s="43">
        <f>IF(C226="","",SUMIFS($J$7:J226,$C$7:C226,C226)-SUMIFS($K$7:K226,$C$7:C226,C226))</f>
        <v/>
      </c>
      <c r="N226">
        <f>IF(AND(C226&lt;&gt;"",C226='Tenant Statement'!$C$6),COUNTIF($C$7:C226,'Tenant Statement'!$C$6),"")</f>
        <v/>
      </c>
    </row>
    <row r="227">
      <c r="B227" s="41" t="n"/>
      <c r="C227" s="18" t="n"/>
      <c r="D227" s="42">
        <f>IF(C227="","",IFERROR(INDEX(TenantProperty,MATCH(C227,Tenants,0)),""))</f>
        <v/>
      </c>
      <c r="E227" s="42">
        <f>IF(C227="","",IFERROR(INDEX(TenantUnit,MATCH(C227,Tenants,0)),""))</f>
        <v/>
      </c>
      <c r="F227" s="18" t="n"/>
      <c r="G227" s="18" t="n"/>
      <c r="H227" s="18" t="n"/>
      <c r="I227" s="18" t="n"/>
      <c r="J227" s="37" t="n"/>
      <c r="K227" s="37" t="n"/>
      <c r="L227" s="43">
        <f>IF(C227="","",SUMIFS($J$7:J227,$C$7:C227,C227)-SUMIFS($K$7:K227,$C$7:C227,C227))</f>
        <v/>
      </c>
      <c r="N227">
        <f>IF(AND(C227&lt;&gt;"",C227='Tenant Statement'!$C$6),COUNTIF($C$7:C227,'Tenant Statement'!$C$6),"")</f>
        <v/>
      </c>
    </row>
    <row r="228">
      <c r="B228" s="41" t="n"/>
      <c r="C228" s="18" t="n"/>
      <c r="D228" s="42">
        <f>IF(C228="","",IFERROR(INDEX(TenantProperty,MATCH(C228,Tenants,0)),""))</f>
        <v/>
      </c>
      <c r="E228" s="42">
        <f>IF(C228="","",IFERROR(INDEX(TenantUnit,MATCH(C228,Tenants,0)),""))</f>
        <v/>
      </c>
      <c r="F228" s="18" t="n"/>
      <c r="G228" s="18" t="n"/>
      <c r="H228" s="18" t="n"/>
      <c r="I228" s="18" t="n"/>
      <c r="J228" s="37" t="n"/>
      <c r="K228" s="37" t="n"/>
      <c r="L228" s="43">
        <f>IF(C228="","",SUMIFS($J$7:J228,$C$7:C228,C228)-SUMIFS($K$7:K228,$C$7:C228,C228))</f>
        <v/>
      </c>
      <c r="N228">
        <f>IF(AND(C228&lt;&gt;"",C228='Tenant Statement'!$C$6),COUNTIF($C$7:C228,'Tenant Statement'!$C$6),"")</f>
        <v/>
      </c>
    </row>
    <row r="229">
      <c r="B229" s="41" t="n"/>
      <c r="C229" s="18" t="n"/>
      <c r="D229" s="42">
        <f>IF(C229="","",IFERROR(INDEX(TenantProperty,MATCH(C229,Tenants,0)),""))</f>
        <v/>
      </c>
      <c r="E229" s="42">
        <f>IF(C229="","",IFERROR(INDEX(TenantUnit,MATCH(C229,Tenants,0)),""))</f>
        <v/>
      </c>
      <c r="F229" s="18" t="n"/>
      <c r="G229" s="18" t="n"/>
      <c r="H229" s="18" t="n"/>
      <c r="I229" s="18" t="n"/>
      <c r="J229" s="37" t="n"/>
      <c r="K229" s="37" t="n"/>
      <c r="L229" s="43">
        <f>IF(C229="","",SUMIFS($J$7:J229,$C$7:C229,C229)-SUMIFS($K$7:K229,$C$7:C229,C229))</f>
        <v/>
      </c>
      <c r="N229">
        <f>IF(AND(C229&lt;&gt;"",C229='Tenant Statement'!$C$6),COUNTIF($C$7:C229,'Tenant Statement'!$C$6),"")</f>
        <v/>
      </c>
    </row>
    <row r="230">
      <c r="B230" s="41" t="n"/>
      <c r="C230" s="18" t="n"/>
      <c r="D230" s="42">
        <f>IF(C230="","",IFERROR(INDEX(TenantProperty,MATCH(C230,Tenants,0)),""))</f>
        <v/>
      </c>
      <c r="E230" s="42">
        <f>IF(C230="","",IFERROR(INDEX(TenantUnit,MATCH(C230,Tenants,0)),""))</f>
        <v/>
      </c>
      <c r="F230" s="18" t="n"/>
      <c r="G230" s="18" t="n"/>
      <c r="H230" s="18" t="n"/>
      <c r="I230" s="18" t="n"/>
      <c r="J230" s="37" t="n"/>
      <c r="K230" s="37" t="n"/>
      <c r="L230" s="43">
        <f>IF(C230="","",SUMIFS($J$7:J230,$C$7:C230,C230)-SUMIFS($K$7:K230,$C$7:C230,C230))</f>
        <v/>
      </c>
      <c r="N230">
        <f>IF(AND(C230&lt;&gt;"",C230='Tenant Statement'!$C$6),COUNTIF($C$7:C230,'Tenant Statement'!$C$6),"")</f>
        <v/>
      </c>
    </row>
    <row r="231">
      <c r="B231" s="41" t="n"/>
      <c r="C231" s="18" t="n"/>
      <c r="D231" s="42">
        <f>IF(C231="","",IFERROR(INDEX(TenantProperty,MATCH(C231,Tenants,0)),""))</f>
        <v/>
      </c>
      <c r="E231" s="42">
        <f>IF(C231="","",IFERROR(INDEX(TenantUnit,MATCH(C231,Tenants,0)),""))</f>
        <v/>
      </c>
      <c r="F231" s="18" t="n"/>
      <c r="G231" s="18" t="n"/>
      <c r="H231" s="18" t="n"/>
      <c r="I231" s="18" t="n"/>
      <c r="J231" s="37" t="n"/>
      <c r="K231" s="37" t="n"/>
      <c r="L231" s="43">
        <f>IF(C231="","",SUMIFS($J$7:J231,$C$7:C231,C231)-SUMIFS($K$7:K231,$C$7:C231,C231))</f>
        <v/>
      </c>
      <c r="N231">
        <f>IF(AND(C231&lt;&gt;"",C231='Tenant Statement'!$C$6),COUNTIF($C$7:C231,'Tenant Statement'!$C$6),"")</f>
        <v/>
      </c>
    </row>
    <row r="232">
      <c r="B232" s="41" t="n"/>
      <c r="C232" s="18" t="n"/>
      <c r="D232" s="42">
        <f>IF(C232="","",IFERROR(INDEX(TenantProperty,MATCH(C232,Tenants,0)),""))</f>
        <v/>
      </c>
      <c r="E232" s="42">
        <f>IF(C232="","",IFERROR(INDEX(TenantUnit,MATCH(C232,Tenants,0)),""))</f>
        <v/>
      </c>
      <c r="F232" s="18" t="n"/>
      <c r="G232" s="18" t="n"/>
      <c r="H232" s="18" t="n"/>
      <c r="I232" s="18" t="n"/>
      <c r="J232" s="37" t="n"/>
      <c r="K232" s="37" t="n"/>
      <c r="L232" s="43">
        <f>IF(C232="","",SUMIFS($J$7:J232,$C$7:C232,C232)-SUMIFS($K$7:K232,$C$7:C232,C232))</f>
        <v/>
      </c>
      <c r="N232">
        <f>IF(AND(C232&lt;&gt;"",C232='Tenant Statement'!$C$6),COUNTIF($C$7:C232,'Tenant Statement'!$C$6),"")</f>
        <v/>
      </c>
    </row>
    <row r="233">
      <c r="B233" s="41" t="n"/>
      <c r="C233" s="18" t="n"/>
      <c r="D233" s="42">
        <f>IF(C233="","",IFERROR(INDEX(TenantProperty,MATCH(C233,Tenants,0)),""))</f>
        <v/>
      </c>
      <c r="E233" s="42">
        <f>IF(C233="","",IFERROR(INDEX(TenantUnit,MATCH(C233,Tenants,0)),""))</f>
        <v/>
      </c>
      <c r="F233" s="18" t="n"/>
      <c r="G233" s="18" t="n"/>
      <c r="H233" s="18" t="n"/>
      <c r="I233" s="18" t="n"/>
      <c r="J233" s="37" t="n"/>
      <c r="K233" s="37" t="n"/>
      <c r="L233" s="43">
        <f>IF(C233="","",SUMIFS($J$7:J233,$C$7:C233,C233)-SUMIFS($K$7:K233,$C$7:C233,C233))</f>
        <v/>
      </c>
      <c r="N233">
        <f>IF(AND(C233&lt;&gt;"",C233='Tenant Statement'!$C$6),COUNTIF($C$7:C233,'Tenant Statement'!$C$6),"")</f>
        <v/>
      </c>
    </row>
    <row r="234">
      <c r="B234" s="41" t="n"/>
      <c r="C234" s="18" t="n"/>
      <c r="D234" s="42">
        <f>IF(C234="","",IFERROR(INDEX(TenantProperty,MATCH(C234,Tenants,0)),""))</f>
        <v/>
      </c>
      <c r="E234" s="42">
        <f>IF(C234="","",IFERROR(INDEX(TenantUnit,MATCH(C234,Tenants,0)),""))</f>
        <v/>
      </c>
      <c r="F234" s="18" t="n"/>
      <c r="G234" s="18" t="n"/>
      <c r="H234" s="18" t="n"/>
      <c r="I234" s="18" t="n"/>
      <c r="J234" s="37" t="n"/>
      <c r="K234" s="37" t="n"/>
      <c r="L234" s="43">
        <f>IF(C234="","",SUMIFS($J$7:J234,$C$7:C234,C234)-SUMIFS($K$7:K234,$C$7:C234,C234))</f>
        <v/>
      </c>
      <c r="N234">
        <f>IF(AND(C234&lt;&gt;"",C234='Tenant Statement'!$C$6),COUNTIF($C$7:C234,'Tenant Statement'!$C$6),"")</f>
        <v/>
      </c>
    </row>
    <row r="235">
      <c r="B235" s="41" t="n"/>
      <c r="C235" s="18" t="n"/>
      <c r="D235" s="42">
        <f>IF(C235="","",IFERROR(INDEX(TenantProperty,MATCH(C235,Tenants,0)),""))</f>
        <v/>
      </c>
      <c r="E235" s="42">
        <f>IF(C235="","",IFERROR(INDEX(TenantUnit,MATCH(C235,Tenants,0)),""))</f>
        <v/>
      </c>
      <c r="F235" s="18" t="n"/>
      <c r="G235" s="18" t="n"/>
      <c r="H235" s="18" t="n"/>
      <c r="I235" s="18" t="n"/>
      <c r="J235" s="37" t="n"/>
      <c r="K235" s="37" t="n"/>
      <c r="L235" s="43">
        <f>IF(C235="","",SUMIFS($J$7:J235,$C$7:C235,C235)-SUMIFS($K$7:K235,$C$7:C235,C235))</f>
        <v/>
      </c>
      <c r="N235">
        <f>IF(AND(C235&lt;&gt;"",C235='Tenant Statement'!$C$6),COUNTIF($C$7:C235,'Tenant Statement'!$C$6),"")</f>
        <v/>
      </c>
    </row>
    <row r="236">
      <c r="B236" s="41" t="n"/>
      <c r="C236" s="18" t="n"/>
      <c r="D236" s="42">
        <f>IF(C236="","",IFERROR(INDEX(TenantProperty,MATCH(C236,Tenants,0)),""))</f>
        <v/>
      </c>
      <c r="E236" s="42">
        <f>IF(C236="","",IFERROR(INDEX(TenantUnit,MATCH(C236,Tenants,0)),""))</f>
        <v/>
      </c>
      <c r="F236" s="18" t="n"/>
      <c r="G236" s="18" t="n"/>
      <c r="H236" s="18" t="n"/>
      <c r="I236" s="18" t="n"/>
      <c r="J236" s="37" t="n"/>
      <c r="K236" s="37" t="n"/>
      <c r="L236" s="43">
        <f>IF(C236="","",SUMIFS($J$7:J236,$C$7:C236,C236)-SUMIFS($K$7:K236,$C$7:C236,C236))</f>
        <v/>
      </c>
      <c r="N236">
        <f>IF(AND(C236&lt;&gt;"",C236='Tenant Statement'!$C$6),COUNTIF($C$7:C236,'Tenant Statement'!$C$6),"")</f>
        <v/>
      </c>
    </row>
    <row r="237">
      <c r="B237" s="41" t="n"/>
      <c r="C237" s="18" t="n"/>
      <c r="D237" s="42">
        <f>IF(C237="","",IFERROR(INDEX(TenantProperty,MATCH(C237,Tenants,0)),""))</f>
        <v/>
      </c>
      <c r="E237" s="42">
        <f>IF(C237="","",IFERROR(INDEX(TenantUnit,MATCH(C237,Tenants,0)),""))</f>
        <v/>
      </c>
      <c r="F237" s="18" t="n"/>
      <c r="G237" s="18" t="n"/>
      <c r="H237" s="18" t="n"/>
      <c r="I237" s="18" t="n"/>
      <c r="J237" s="37" t="n"/>
      <c r="K237" s="37" t="n"/>
      <c r="L237" s="43">
        <f>IF(C237="","",SUMIFS($J$7:J237,$C$7:C237,C237)-SUMIFS($K$7:K237,$C$7:C237,C237))</f>
        <v/>
      </c>
      <c r="N237">
        <f>IF(AND(C237&lt;&gt;"",C237='Tenant Statement'!$C$6),COUNTIF($C$7:C237,'Tenant Statement'!$C$6),"")</f>
        <v/>
      </c>
    </row>
    <row r="238">
      <c r="B238" s="41" t="n"/>
      <c r="C238" s="18" t="n"/>
      <c r="D238" s="42">
        <f>IF(C238="","",IFERROR(INDEX(TenantProperty,MATCH(C238,Tenants,0)),""))</f>
        <v/>
      </c>
      <c r="E238" s="42">
        <f>IF(C238="","",IFERROR(INDEX(TenantUnit,MATCH(C238,Tenants,0)),""))</f>
        <v/>
      </c>
      <c r="F238" s="18" t="n"/>
      <c r="G238" s="18" t="n"/>
      <c r="H238" s="18" t="n"/>
      <c r="I238" s="18" t="n"/>
      <c r="J238" s="37" t="n"/>
      <c r="K238" s="37" t="n"/>
      <c r="L238" s="43">
        <f>IF(C238="","",SUMIFS($J$7:J238,$C$7:C238,C238)-SUMIFS($K$7:K238,$C$7:C238,C238))</f>
        <v/>
      </c>
      <c r="N238">
        <f>IF(AND(C238&lt;&gt;"",C238='Tenant Statement'!$C$6),COUNTIF($C$7:C238,'Tenant Statement'!$C$6),"")</f>
        <v/>
      </c>
    </row>
    <row r="239">
      <c r="B239" s="41" t="n"/>
      <c r="C239" s="18" t="n"/>
      <c r="D239" s="42">
        <f>IF(C239="","",IFERROR(INDEX(TenantProperty,MATCH(C239,Tenants,0)),""))</f>
        <v/>
      </c>
      <c r="E239" s="42">
        <f>IF(C239="","",IFERROR(INDEX(TenantUnit,MATCH(C239,Tenants,0)),""))</f>
        <v/>
      </c>
      <c r="F239" s="18" t="n"/>
      <c r="G239" s="18" t="n"/>
      <c r="H239" s="18" t="n"/>
      <c r="I239" s="18" t="n"/>
      <c r="J239" s="37" t="n"/>
      <c r="K239" s="37" t="n"/>
      <c r="L239" s="43">
        <f>IF(C239="","",SUMIFS($J$7:J239,$C$7:C239,C239)-SUMIFS($K$7:K239,$C$7:C239,C239))</f>
        <v/>
      </c>
      <c r="N239">
        <f>IF(AND(C239&lt;&gt;"",C239='Tenant Statement'!$C$6),COUNTIF($C$7:C239,'Tenant Statement'!$C$6),"")</f>
        <v/>
      </c>
    </row>
    <row r="240">
      <c r="B240" s="41" t="n"/>
      <c r="C240" s="18" t="n"/>
      <c r="D240" s="42">
        <f>IF(C240="","",IFERROR(INDEX(TenantProperty,MATCH(C240,Tenants,0)),""))</f>
        <v/>
      </c>
      <c r="E240" s="42">
        <f>IF(C240="","",IFERROR(INDEX(TenantUnit,MATCH(C240,Tenants,0)),""))</f>
        <v/>
      </c>
      <c r="F240" s="18" t="n"/>
      <c r="G240" s="18" t="n"/>
      <c r="H240" s="18" t="n"/>
      <c r="I240" s="18" t="n"/>
      <c r="J240" s="37" t="n"/>
      <c r="K240" s="37" t="n"/>
      <c r="L240" s="43">
        <f>IF(C240="","",SUMIFS($J$7:J240,$C$7:C240,C240)-SUMIFS($K$7:K240,$C$7:C240,C240))</f>
        <v/>
      </c>
      <c r="N240">
        <f>IF(AND(C240&lt;&gt;"",C240='Tenant Statement'!$C$6),COUNTIF($C$7:C240,'Tenant Statement'!$C$6),"")</f>
        <v/>
      </c>
    </row>
    <row r="241">
      <c r="B241" s="41" t="n"/>
      <c r="C241" s="18" t="n"/>
      <c r="D241" s="42">
        <f>IF(C241="","",IFERROR(INDEX(TenantProperty,MATCH(C241,Tenants,0)),""))</f>
        <v/>
      </c>
      <c r="E241" s="42">
        <f>IF(C241="","",IFERROR(INDEX(TenantUnit,MATCH(C241,Tenants,0)),""))</f>
        <v/>
      </c>
      <c r="F241" s="18" t="n"/>
      <c r="G241" s="18" t="n"/>
      <c r="H241" s="18" t="n"/>
      <c r="I241" s="18" t="n"/>
      <c r="J241" s="37" t="n"/>
      <c r="K241" s="37" t="n"/>
      <c r="L241" s="43">
        <f>IF(C241="","",SUMIFS($J$7:J241,$C$7:C241,C241)-SUMIFS($K$7:K241,$C$7:C241,C241))</f>
        <v/>
      </c>
      <c r="N241">
        <f>IF(AND(C241&lt;&gt;"",C241='Tenant Statement'!$C$6),COUNTIF($C$7:C241,'Tenant Statement'!$C$6),"")</f>
        <v/>
      </c>
    </row>
    <row r="242">
      <c r="B242" s="41" t="n"/>
      <c r="C242" s="18" t="n"/>
      <c r="D242" s="42">
        <f>IF(C242="","",IFERROR(INDEX(TenantProperty,MATCH(C242,Tenants,0)),""))</f>
        <v/>
      </c>
      <c r="E242" s="42">
        <f>IF(C242="","",IFERROR(INDEX(TenantUnit,MATCH(C242,Tenants,0)),""))</f>
        <v/>
      </c>
      <c r="F242" s="18" t="n"/>
      <c r="G242" s="18" t="n"/>
      <c r="H242" s="18" t="n"/>
      <c r="I242" s="18" t="n"/>
      <c r="J242" s="37" t="n"/>
      <c r="K242" s="37" t="n"/>
      <c r="L242" s="43">
        <f>IF(C242="","",SUMIFS($J$7:J242,$C$7:C242,C242)-SUMIFS($K$7:K242,$C$7:C242,C242))</f>
        <v/>
      </c>
      <c r="N242">
        <f>IF(AND(C242&lt;&gt;"",C242='Tenant Statement'!$C$6),COUNTIF($C$7:C242,'Tenant Statement'!$C$6),"")</f>
        <v/>
      </c>
    </row>
    <row r="243">
      <c r="B243" s="41" t="n"/>
      <c r="C243" s="18" t="n"/>
      <c r="D243" s="42">
        <f>IF(C243="","",IFERROR(INDEX(TenantProperty,MATCH(C243,Tenants,0)),""))</f>
        <v/>
      </c>
      <c r="E243" s="42">
        <f>IF(C243="","",IFERROR(INDEX(TenantUnit,MATCH(C243,Tenants,0)),""))</f>
        <v/>
      </c>
      <c r="F243" s="18" t="n"/>
      <c r="G243" s="18" t="n"/>
      <c r="H243" s="18" t="n"/>
      <c r="I243" s="18" t="n"/>
      <c r="J243" s="37" t="n"/>
      <c r="K243" s="37" t="n"/>
      <c r="L243" s="43">
        <f>IF(C243="","",SUMIFS($J$7:J243,$C$7:C243,C243)-SUMIFS($K$7:K243,$C$7:C243,C243))</f>
        <v/>
      </c>
      <c r="N243">
        <f>IF(AND(C243&lt;&gt;"",C243='Tenant Statement'!$C$6),COUNTIF($C$7:C243,'Tenant Statement'!$C$6),"")</f>
        <v/>
      </c>
    </row>
    <row r="244">
      <c r="B244" s="41" t="n"/>
      <c r="C244" s="18" t="n"/>
      <c r="D244" s="42">
        <f>IF(C244="","",IFERROR(INDEX(TenantProperty,MATCH(C244,Tenants,0)),""))</f>
        <v/>
      </c>
      <c r="E244" s="42">
        <f>IF(C244="","",IFERROR(INDEX(TenantUnit,MATCH(C244,Tenants,0)),""))</f>
        <v/>
      </c>
      <c r="F244" s="18" t="n"/>
      <c r="G244" s="18" t="n"/>
      <c r="H244" s="18" t="n"/>
      <c r="I244" s="18" t="n"/>
      <c r="J244" s="37" t="n"/>
      <c r="K244" s="37" t="n"/>
      <c r="L244" s="43">
        <f>IF(C244="","",SUMIFS($J$7:J244,$C$7:C244,C244)-SUMIFS($K$7:K244,$C$7:C244,C244))</f>
        <v/>
      </c>
      <c r="N244">
        <f>IF(AND(C244&lt;&gt;"",C244='Tenant Statement'!$C$6),COUNTIF($C$7:C244,'Tenant Statement'!$C$6),"")</f>
        <v/>
      </c>
    </row>
    <row r="245">
      <c r="B245" s="41" t="n"/>
      <c r="C245" s="18" t="n"/>
      <c r="D245" s="42">
        <f>IF(C245="","",IFERROR(INDEX(TenantProperty,MATCH(C245,Tenants,0)),""))</f>
        <v/>
      </c>
      <c r="E245" s="42">
        <f>IF(C245="","",IFERROR(INDEX(TenantUnit,MATCH(C245,Tenants,0)),""))</f>
        <v/>
      </c>
      <c r="F245" s="18" t="n"/>
      <c r="G245" s="18" t="n"/>
      <c r="H245" s="18" t="n"/>
      <c r="I245" s="18" t="n"/>
      <c r="J245" s="37" t="n"/>
      <c r="K245" s="37" t="n"/>
      <c r="L245" s="43">
        <f>IF(C245="","",SUMIFS($J$7:J245,$C$7:C245,C245)-SUMIFS($K$7:K245,$C$7:C245,C245))</f>
        <v/>
      </c>
      <c r="N245">
        <f>IF(AND(C245&lt;&gt;"",C245='Tenant Statement'!$C$6),COUNTIF($C$7:C245,'Tenant Statement'!$C$6),"")</f>
        <v/>
      </c>
    </row>
    <row r="246">
      <c r="B246" s="41" t="n"/>
      <c r="C246" s="18" t="n"/>
      <c r="D246" s="42">
        <f>IF(C246="","",IFERROR(INDEX(TenantProperty,MATCH(C246,Tenants,0)),""))</f>
        <v/>
      </c>
      <c r="E246" s="42">
        <f>IF(C246="","",IFERROR(INDEX(TenantUnit,MATCH(C246,Tenants,0)),""))</f>
        <v/>
      </c>
      <c r="F246" s="18" t="n"/>
      <c r="G246" s="18" t="n"/>
      <c r="H246" s="18" t="n"/>
      <c r="I246" s="18" t="n"/>
      <c r="J246" s="37" t="n"/>
      <c r="K246" s="37" t="n"/>
      <c r="L246" s="43">
        <f>IF(C246="","",SUMIFS($J$7:J246,$C$7:C246,C246)-SUMIFS($K$7:K246,$C$7:C246,C246))</f>
        <v/>
      </c>
      <c r="N246">
        <f>IF(AND(C246&lt;&gt;"",C246='Tenant Statement'!$C$6),COUNTIF($C$7:C246,'Tenant Statement'!$C$6),"")</f>
        <v/>
      </c>
    </row>
    <row r="247">
      <c r="B247" s="41" t="n"/>
      <c r="C247" s="18" t="n"/>
      <c r="D247" s="42">
        <f>IF(C247="","",IFERROR(INDEX(TenantProperty,MATCH(C247,Tenants,0)),""))</f>
        <v/>
      </c>
      <c r="E247" s="42">
        <f>IF(C247="","",IFERROR(INDEX(TenantUnit,MATCH(C247,Tenants,0)),""))</f>
        <v/>
      </c>
      <c r="F247" s="18" t="n"/>
      <c r="G247" s="18" t="n"/>
      <c r="H247" s="18" t="n"/>
      <c r="I247" s="18" t="n"/>
      <c r="J247" s="37" t="n"/>
      <c r="K247" s="37" t="n"/>
      <c r="L247" s="43">
        <f>IF(C247="","",SUMIFS($J$7:J247,$C$7:C247,C247)-SUMIFS($K$7:K247,$C$7:C247,C247))</f>
        <v/>
      </c>
      <c r="N247">
        <f>IF(AND(C247&lt;&gt;"",C247='Tenant Statement'!$C$6),COUNTIF($C$7:C247,'Tenant Statement'!$C$6),"")</f>
        <v/>
      </c>
    </row>
    <row r="248">
      <c r="B248" s="41" t="n"/>
      <c r="C248" s="18" t="n"/>
      <c r="D248" s="42">
        <f>IF(C248="","",IFERROR(INDEX(TenantProperty,MATCH(C248,Tenants,0)),""))</f>
        <v/>
      </c>
      <c r="E248" s="42">
        <f>IF(C248="","",IFERROR(INDEX(TenantUnit,MATCH(C248,Tenants,0)),""))</f>
        <v/>
      </c>
      <c r="F248" s="18" t="n"/>
      <c r="G248" s="18" t="n"/>
      <c r="H248" s="18" t="n"/>
      <c r="I248" s="18" t="n"/>
      <c r="J248" s="37" t="n"/>
      <c r="K248" s="37" t="n"/>
      <c r="L248" s="43">
        <f>IF(C248="","",SUMIFS($J$7:J248,$C$7:C248,C248)-SUMIFS($K$7:K248,$C$7:C248,C248))</f>
        <v/>
      </c>
      <c r="N248">
        <f>IF(AND(C248&lt;&gt;"",C248='Tenant Statement'!$C$6),COUNTIF($C$7:C248,'Tenant Statement'!$C$6),"")</f>
        <v/>
      </c>
    </row>
    <row r="249">
      <c r="B249" s="41" t="n"/>
      <c r="C249" s="18" t="n"/>
      <c r="D249" s="42">
        <f>IF(C249="","",IFERROR(INDEX(TenantProperty,MATCH(C249,Tenants,0)),""))</f>
        <v/>
      </c>
      <c r="E249" s="42">
        <f>IF(C249="","",IFERROR(INDEX(TenantUnit,MATCH(C249,Tenants,0)),""))</f>
        <v/>
      </c>
      <c r="F249" s="18" t="n"/>
      <c r="G249" s="18" t="n"/>
      <c r="H249" s="18" t="n"/>
      <c r="I249" s="18" t="n"/>
      <c r="J249" s="37" t="n"/>
      <c r="K249" s="37" t="n"/>
      <c r="L249" s="43">
        <f>IF(C249="","",SUMIFS($J$7:J249,$C$7:C249,C249)-SUMIFS($K$7:K249,$C$7:C249,C249))</f>
        <v/>
      </c>
      <c r="N249">
        <f>IF(AND(C249&lt;&gt;"",C249='Tenant Statement'!$C$6),COUNTIF($C$7:C249,'Tenant Statement'!$C$6),"")</f>
        <v/>
      </c>
    </row>
    <row r="250">
      <c r="B250" s="41" t="n"/>
      <c r="C250" s="18" t="n"/>
      <c r="D250" s="42">
        <f>IF(C250="","",IFERROR(INDEX(TenantProperty,MATCH(C250,Tenants,0)),""))</f>
        <v/>
      </c>
      <c r="E250" s="42">
        <f>IF(C250="","",IFERROR(INDEX(TenantUnit,MATCH(C250,Tenants,0)),""))</f>
        <v/>
      </c>
      <c r="F250" s="18" t="n"/>
      <c r="G250" s="18" t="n"/>
      <c r="H250" s="18" t="n"/>
      <c r="I250" s="18" t="n"/>
      <c r="J250" s="37" t="n"/>
      <c r="K250" s="37" t="n"/>
      <c r="L250" s="43">
        <f>IF(C250="","",SUMIFS($J$7:J250,$C$7:C250,C250)-SUMIFS($K$7:K250,$C$7:C250,C250))</f>
        <v/>
      </c>
      <c r="N250">
        <f>IF(AND(C250&lt;&gt;"",C250='Tenant Statement'!$C$6),COUNTIF($C$7:C250,'Tenant Statement'!$C$6),"")</f>
        <v/>
      </c>
    </row>
    <row r="251">
      <c r="B251" s="41" t="n"/>
      <c r="C251" s="18" t="n"/>
      <c r="D251" s="42">
        <f>IF(C251="","",IFERROR(INDEX(TenantProperty,MATCH(C251,Tenants,0)),""))</f>
        <v/>
      </c>
      <c r="E251" s="42">
        <f>IF(C251="","",IFERROR(INDEX(TenantUnit,MATCH(C251,Tenants,0)),""))</f>
        <v/>
      </c>
      <c r="F251" s="18" t="n"/>
      <c r="G251" s="18" t="n"/>
      <c r="H251" s="18" t="n"/>
      <c r="I251" s="18" t="n"/>
      <c r="J251" s="37" t="n"/>
      <c r="K251" s="37" t="n"/>
      <c r="L251" s="43">
        <f>IF(C251="","",SUMIFS($J$7:J251,$C$7:C251,C251)-SUMIFS($K$7:K251,$C$7:C251,C251))</f>
        <v/>
      </c>
      <c r="N251">
        <f>IF(AND(C251&lt;&gt;"",C251='Tenant Statement'!$C$6),COUNTIF($C$7:C251,'Tenant Statement'!$C$6),"")</f>
        <v/>
      </c>
    </row>
    <row r="252">
      <c r="B252" s="41" t="n"/>
      <c r="C252" s="18" t="n"/>
      <c r="D252" s="42">
        <f>IF(C252="","",IFERROR(INDEX(TenantProperty,MATCH(C252,Tenants,0)),""))</f>
        <v/>
      </c>
      <c r="E252" s="42">
        <f>IF(C252="","",IFERROR(INDEX(TenantUnit,MATCH(C252,Tenants,0)),""))</f>
        <v/>
      </c>
      <c r="F252" s="18" t="n"/>
      <c r="G252" s="18" t="n"/>
      <c r="H252" s="18" t="n"/>
      <c r="I252" s="18" t="n"/>
      <c r="J252" s="37" t="n"/>
      <c r="K252" s="37" t="n"/>
      <c r="L252" s="43">
        <f>IF(C252="","",SUMIFS($J$7:J252,$C$7:C252,C252)-SUMIFS($K$7:K252,$C$7:C252,C252))</f>
        <v/>
      </c>
      <c r="N252">
        <f>IF(AND(C252&lt;&gt;"",C252='Tenant Statement'!$C$6),COUNTIF($C$7:C252,'Tenant Statement'!$C$6),"")</f>
        <v/>
      </c>
    </row>
    <row r="253">
      <c r="B253" s="41" t="n"/>
      <c r="C253" s="18" t="n"/>
      <c r="D253" s="42">
        <f>IF(C253="","",IFERROR(INDEX(TenantProperty,MATCH(C253,Tenants,0)),""))</f>
        <v/>
      </c>
      <c r="E253" s="42">
        <f>IF(C253="","",IFERROR(INDEX(TenantUnit,MATCH(C253,Tenants,0)),""))</f>
        <v/>
      </c>
      <c r="F253" s="18" t="n"/>
      <c r="G253" s="18" t="n"/>
      <c r="H253" s="18" t="n"/>
      <c r="I253" s="18" t="n"/>
      <c r="J253" s="37" t="n"/>
      <c r="K253" s="37" t="n"/>
      <c r="L253" s="43">
        <f>IF(C253="","",SUMIFS($J$7:J253,$C$7:C253,C253)-SUMIFS($K$7:K253,$C$7:C253,C253))</f>
        <v/>
      </c>
      <c r="N253">
        <f>IF(AND(C253&lt;&gt;"",C253='Tenant Statement'!$C$6),COUNTIF($C$7:C253,'Tenant Statement'!$C$6),"")</f>
        <v/>
      </c>
    </row>
    <row r="254">
      <c r="B254" s="41" t="n"/>
      <c r="C254" s="18" t="n"/>
      <c r="D254" s="42">
        <f>IF(C254="","",IFERROR(INDEX(TenantProperty,MATCH(C254,Tenants,0)),""))</f>
        <v/>
      </c>
      <c r="E254" s="42">
        <f>IF(C254="","",IFERROR(INDEX(TenantUnit,MATCH(C254,Tenants,0)),""))</f>
        <v/>
      </c>
      <c r="F254" s="18" t="n"/>
      <c r="G254" s="18" t="n"/>
      <c r="H254" s="18" t="n"/>
      <c r="I254" s="18" t="n"/>
      <c r="J254" s="37" t="n"/>
      <c r="K254" s="37" t="n"/>
      <c r="L254" s="43">
        <f>IF(C254="","",SUMIFS($J$7:J254,$C$7:C254,C254)-SUMIFS($K$7:K254,$C$7:C254,C254))</f>
        <v/>
      </c>
      <c r="N254">
        <f>IF(AND(C254&lt;&gt;"",C254='Tenant Statement'!$C$6),COUNTIF($C$7:C254,'Tenant Statement'!$C$6),"")</f>
        <v/>
      </c>
    </row>
    <row r="255">
      <c r="B255" s="41" t="n"/>
      <c r="C255" s="18" t="n"/>
      <c r="D255" s="42">
        <f>IF(C255="","",IFERROR(INDEX(TenantProperty,MATCH(C255,Tenants,0)),""))</f>
        <v/>
      </c>
      <c r="E255" s="42">
        <f>IF(C255="","",IFERROR(INDEX(TenantUnit,MATCH(C255,Tenants,0)),""))</f>
        <v/>
      </c>
      <c r="F255" s="18" t="n"/>
      <c r="G255" s="18" t="n"/>
      <c r="H255" s="18" t="n"/>
      <c r="I255" s="18" t="n"/>
      <c r="J255" s="37" t="n"/>
      <c r="K255" s="37" t="n"/>
      <c r="L255" s="43">
        <f>IF(C255="","",SUMIFS($J$7:J255,$C$7:C255,C255)-SUMIFS($K$7:K255,$C$7:C255,C255))</f>
        <v/>
      </c>
      <c r="N255">
        <f>IF(AND(C255&lt;&gt;"",C255='Tenant Statement'!$C$6),COUNTIF($C$7:C255,'Tenant Statement'!$C$6),"")</f>
        <v/>
      </c>
    </row>
    <row r="256">
      <c r="B256" s="41" t="n"/>
      <c r="C256" s="18" t="n"/>
      <c r="D256" s="42">
        <f>IF(C256="","",IFERROR(INDEX(TenantProperty,MATCH(C256,Tenants,0)),""))</f>
        <v/>
      </c>
      <c r="E256" s="42">
        <f>IF(C256="","",IFERROR(INDEX(TenantUnit,MATCH(C256,Tenants,0)),""))</f>
        <v/>
      </c>
      <c r="F256" s="18" t="n"/>
      <c r="G256" s="18" t="n"/>
      <c r="H256" s="18" t="n"/>
      <c r="I256" s="18" t="n"/>
      <c r="J256" s="37" t="n"/>
      <c r="K256" s="37" t="n"/>
      <c r="L256" s="43">
        <f>IF(C256="","",SUMIFS($J$7:J256,$C$7:C256,C256)-SUMIFS($K$7:K256,$C$7:C256,C256))</f>
        <v/>
      </c>
      <c r="N256">
        <f>IF(AND(C256&lt;&gt;"",C256='Tenant Statement'!$C$6),COUNTIF($C$7:C256,'Tenant Statement'!$C$6),"")</f>
        <v/>
      </c>
    </row>
    <row r="257">
      <c r="B257" s="41" t="n"/>
      <c r="C257" s="18" t="n"/>
      <c r="D257" s="42">
        <f>IF(C257="","",IFERROR(INDEX(TenantProperty,MATCH(C257,Tenants,0)),""))</f>
        <v/>
      </c>
      <c r="E257" s="42">
        <f>IF(C257="","",IFERROR(INDEX(TenantUnit,MATCH(C257,Tenants,0)),""))</f>
        <v/>
      </c>
      <c r="F257" s="18" t="n"/>
      <c r="G257" s="18" t="n"/>
      <c r="H257" s="18" t="n"/>
      <c r="I257" s="18" t="n"/>
      <c r="J257" s="37" t="n"/>
      <c r="K257" s="37" t="n"/>
      <c r="L257" s="43">
        <f>IF(C257="","",SUMIFS($J$7:J257,$C$7:C257,C257)-SUMIFS($K$7:K257,$C$7:C257,C257))</f>
        <v/>
      </c>
      <c r="N257">
        <f>IF(AND(C257&lt;&gt;"",C257='Tenant Statement'!$C$6),COUNTIF($C$7:C257,'Tenant Statement'!$C$6),"")</f>
        <v/>
      </c>
    </row>
    <row r="258">
      <c r="B258" s="41" t="n"/>
      <c r="C258" s="18" t="n"/>
      <c r="D258" s="42">
        <f>IF(C258="","",IFERROR(INDEX(TenantProperty,MATCH(C258,Tenants,0)),""))</f>
        <v/>
      </c>
      <c r="E258" s="42">
        <f>IF(C258="","",IFERROR(INDEX(TenantUnit,MATCH(C258,Tenants,0)),""))</f>
        <v/>
      </c>
      <c r="F258" s="18" t="n"/>
      <c r="G258" s="18" t="n"/>
      <c r="H258" s="18" t="n"/>
      <c r="I258" s="18" t="n"/>
      <c r="J258" s="37" t="n"/>
      <c r="K258" s="37" t="n"/>
      <c r="L258" s="43">
        <f>IF(C258="","",SUMIFS($J$7:J258,$C$7:C258,C258)-SUMIFS($K$7:K258,$C$7:C258,C258))</f>
        <v/>
      </c>
      <c r="N258">
        <f>IF(AND(C258&lt;&gt;"",C258='Tenant Statement'!$C$6),COUNTIF($C$7:C258,'Tenant Statement'!$C$6),"")</f>
        <v/>
      </c>
    </row>
    <row r="259">
      <c r="B259" s="41" t="n"/>
      <c r="C259" s="18" t="n"/>
      <c r="D259" s="42">
        <f>IF(C259="","",IFERROR(INDEX(TenantProperty,MATCH(C259,Tenants,0)),""))</f>
        <v/>
      </c>
      <c r="E259" s="42">
        <f>IF(C259="","",IFERROR(INDEX(TenantUnit,MATCH(C259,Tenants,0)),""))</f>
        <v/>
      </c>
      <c r="F259" s="18" t="n"/>
      <c r="G259" s="18" t="n"/>
      <c r="H259" s="18" t="n"/>
      <c r="I259" s="18" t="n"/>
      <c r="J259" s="37" t="n"/>
      <c r="K259" s="37" t="n"/>
      <c r="L259" s="43">
        <f>IF(C259="","",SUMIFS($J$7:J259,$C$7:C259,C259)-SUMIFS($K$7:K259,$C$7:C259,C259))</f>
        <v/>
      </c>
      <c r="N259">
        <f>IF(AND(C259&lt;&gt;"",C259='Tenant Statement'!$C$6),COUNTIF($C$7:C259,'Tenant Statement'!$C$6),"")</f>
        <v/>
      </c>
    </row>
    <row r="260">
      <c r="B260" s="41" t="n"/>
      <c r="C260" s="18" t="n"/>
      <c r="D260" s="42">
        <f>IF(C260="","",IFERROR(INDEX(TenantProperty,MATCH(C260,Tenants,0)),""))</f>
        <v/>
      </c>
      <c r="E260" s="42">
        <f>IF(C260="","",IFERROR(INDEX(TenantUnit,MATCH(C260,Tenants,0)),""))</f>
        <v/>
      </c>
      <c r="F260" s="18" t="n"/>
      <c r="G260" s="18" t="n"/>
      <c r="H260" s="18" t="n"/>
      <c r="I260" s="18" t="n"/>
      <c r="J260" s="37" t="n"/>
      <c r="K260" s="37" t="n"/>
      <c r="L260" s="43">
        <f>IF(C260="","",SUMIFS($J$7:J260,$C$7:C260,C260)-SUMIFS($K$7:K260,$C$7:C260,C260))</f>
        <v/>
      </c>
      <c r="N260">
        <f>IF(AND(C260&lt;&gt;"",C260='Tenant Statement'!$C$6),COUNTIF($C$7:C260,'Tenant Statement'!$C$6),"")</f>
        <v/>
      </c>
    </row>
    <row r="261">
      <c r="B261" s="41" t="n"/>
      <c r="C261" s="18" t="n"/>
      <c r="D261" s="42">
        <f>IF(C261="","",IFERROR(INDEX(TenantProperty,MATCH(C261,Tenants,0)),""))</f>
        <v/>
      </c>
      <c r="E261" s="42">
        <f>IF(C261="","",IFERROR(INDEX(TenantUnit,MATCH(C261,Tenants,0)),""))</f>
        <v/>
      </c>
      <c r="F261" s="18" t="n"/>
      <c r="G261" s="18" t="n"/>
      <c r="H261" s="18" t="n"/>
      <c r="I261" s="18" t="n"/>
      <c r="J261" s="37" t="n"/>
      <c r="K261" s="37" t="n"/>
      <c r="L261" s="43">
        <f>IF(C261="","",SUMIFS($J$7:J261,$C$7:C261,C261)-SUMIFS($K$7:K261,$C$7:C261,C261))</f>
        <v/>
      </c>
      <c r="N261">
        <f>IF(AND(C261&lt;&gt;"",C261='Tenant Statement'!$C$6),COUNTIF($C$7:C261,'Tenant Statement'!$C$6),"")</f>
        <v/>
      </c>
    </row>
    <row r="262">
      <c r="B262" s="41" t="n"/>
      <c r="C262" s="18" t="n"/>
      <c r="D262" s="42">
        <f>IF(C262="","",IFERROR(INDEX(TenantProperty,MATCH(C262,Tenants,0)),""))</f>
        <v/>
      </c>
      <c r="E262" s="42">
        <f>IF(C262="","",IFERROR(INDEX(TenantUnit,MATCH(C262,Tenants,0)),""))</f>
        <v/>
      </c>
      <c r="F262" s="18" t="n"/>
      <c r="G262" s="18" t="n"/>
      <c r="H262" s="18" t="n"/>
      <c r="I262" s="18" t="n"/>
      <c r="J262" s="37" t="n"/>
      <c r="K262" s="37" t="n"/>
      <c r="L262" s="43">
        <f>IF(C262="","",SUMIFS($J$7:J262,$C$7:C262,C262)-SUMIFS($K$7:K262,$C$7:C262,C262))</f>
        <v/>
      </c>
      <c r="N262">
        <f>IF(AND(C262&lt;&gt;"",C262='Tenant Statement'!$C$6),COUNTIF($C$7:C262,'Tenant Statement'!$C$6),"")</f>
        <v/>
      </c>
    </row>
    <row r="263">
      <c r="B263" s="41" t="n"/>
      <c r="C263" s="18" t="n"/>
      <c r="D263" s="42">
        <f>IF(C263="","",IFERROR(INDEX(TenantProperty,MATCH(C263,Tenants,0)),""))</f>
        <v/>
      </c>
      <c r="E263" s="42">
        <f>IF(C263="","",IFERROR(INDEX(TenantUnit,MATCH(C263,Tenants,0)),""))</f>
        <v/>
      </c>
      <c r="F263" s="18" t="n"/>
      <c r="G263" s="18" t="n"/>
      <c r="H263" s="18" t="n"/>
      <c r="I263" s="18" t="n"/>
      <c r="J263" s="37" t="n"/>
      <c r="K263" s="37" t="n"/>
      <c r="L263" s="43">
        <f>IF(C263="","",SUMIFS($J$7:J263,$C$7:C263,C263)-SUMIFS($K$7:K263,$C$7:C263,C263))</f>
        <v/>
      </c>
      <c r="N263">
        <f>IF(AND(C263&lt;&gt;"",C263='Tenant Statement'!$C$6),COUNTIF($C$7:C263,'Tenant Statement'!$C$6),"")</f>
        <v/>
      </c>
    </row>
    <row r="264">
      <c r="B264" s="41" t="n"/>
      <c r="C264" s="18" t="n"/>
      <c r="D264" s="42">
        <f>IF(C264="","",IFERROR(INDEX(TenantProperty,MATCH(C264,Tenants,0)),""))</f>
        <v/>
      </c>
      <c r="E264" s="42">
        <f>IF(C264="","",IFERROR(INDEX(TenantUnit,MATCH(C264,Tenants,0)),""))</f>
        <v/>
      </c>
      <c r="F264" s="18" t="n"/>
      <c r="G264" s="18" t="n"/>
      <c r="H264" s="18" t="n"/>
      <c r="I264" s="18" t="n"/>
      <c r="J264" s="37" t="n"/>
      <c r="K264" s="37" t="n"/>
      <c r="L264" s="43">
        <f>IF(C264="","",SUMIFS($J$7:J264,$C$7:C264,C264)-SUMIFS($K$7:K264,$C$7:C264,C264))</f>
        <v/>
      </c>
      <c r="N264">
        <f>IF(AND(C264&lt;&gt;"",C264='Tenant Statement'!$C$6),COUNTIF($C$7:C264,'Tenant Statement'!$C$6),"")</f>
        <v/>
      </c>
    </row>
    <row r="265">
      <c r="B265" s="41" t="n"/>
      <c r="C265" s="18" t="n"/>
      <c r="D265" s="42">
        <f>IF(C265="","",IFERROR(INDEX(TenantProperty,MATCH(C265,Tenants,0)),""))</f>
        <v/>
      </c>
      <c r="E265" s="42">
        <f>IF(C265="","",IFERROR(INDEX(TenantUnit,MATCH(C265,Tenants,0)),""))</f>
        <v/>
      </c>
      <c r="F265" s="18" t="n"/>
      <c r="G265" s="18" t="n"/>
      <c r="H265" s="18" t="n"/>
      <c r="I265" s="18" t="n"/>
      <c r="J265" s="37" t="n"/>
      <c r="K265" s="37" t="n"/>
      <c r="L265" s="43">
        <f>IF(C265="","",SUMIFS($J$7:J265,$C$7:C265,C265)-SUMIFS($K$7:K265,$C$7:C265,C265))</f>
        <v/>
      </c>
      <c r="N265">
        <f>IF(AND(C265&lt;&gt;"",C265='Tenant Statement'!$C$6),COUNTIF($C$7:C265,'Tenant Statement'!$C$6),"")</f>
        <v/>
      </c>
    </row>
    <row r="266">
      <c r="B266" s="41" t="n"/>
      <c r="C266" s="18" t="n"/>
      <c r="D266" s="42">
        <f>IF(C266="","",IFERROR(INDEX(TenantProperty,MATCH(C266,Tenants,0)),""))</f>
        <v/>
      </c>
      <c r="E266" s="42">
        <f>IF(C266="","",IFERROR(INDEX(TenantUnit,MATCH(C266,Tenants,0)),""))</f>
        <v/>
      </c>
      <c r="F266" s="18" t="n"/>
      <c r="G266" s="18" t="n"/>
      <c r="H266" s="18" t="n"/>
      <c r="I266" s="18" t="n"/>
      <c r="J266" s="37" t="n"/>
      <c r="K266" s="37" t="n"/>
      <c r="L266" s="43">
        <f>IF(C266="","",SUMIFS($J$7:J266,$C$7:C266,C266)-SUMIFS($K$7:K266,$C$7:C266,C266))</f>
        <v/>
      </c>
      <c r="N266">
        <f>IF(AND(C266&lt;&gt;"",C266='Tenant Statement'!$C$6),COUNTIF($C$7:C266,'Tenant Statement'!$C$6),"")</f>
        <v/>
      </c>
    </row>
    <row r="267">
      <c r="B267" s="41" t="n"/>
      <c r="C267" s="18" t="n"/>
      <c r="D267" s="42">
        <f>IF(C267="","",IFERROR(INDEX(TenantProperty,MATCH(C267,Tenants,0)),""))</f>
        <v/>
      </c>
      <c r="E267" s="42">
        <f>IF(C267="","",IFERROR(INDEX(TenantUnit,MATCH(C267,Tenants,0)),""))</f>
        <v/>
      </c>
      <c r="F267" s="18" t="n"/>
      <c r="G267" s="18" t="n"/>
      <c r="H267" s="18" t="n"/>
      <c r="I267" s="18" t="n"/>
      <c r="J267" s="37" t="n"/>
      <c r="K267" s="37" t="n"/>
      <c r="L267" s="43">
        <f>IF(C267="","",SUMIFS($J$7:J267,$C$7:C267,C267)-SUMIFS($K$7:K267,$C$7:C267,C267))</f>
        <v/>
      </c>
      <c r="N267">
        <f>IF(AND(C267&lt;&gt;"",C267='Tenant Statement'!$C$6),COUNTIF($C$7:C267,'Tenant Statement'!$C$6),"")</f>
        <v/>
      </c>
    </row>
    <row r="268">
      <c r="B268" s="41" t="n"/>
      <c r="C268" s="18" t="n"/>
      <c r="D268" s="42">
        <f>IF(C268="","",IFERROR(INDEX(TenantProperty,MATCH(C268,Tenants,0)),""))</f>
        <v/>
      </c>
      <c r="E268" s="42">
        <f>IF(C268="","",IFERROR(INDEX(TenantUnit,MATCH(C268,Tenants,0)),""))</f>
        <v/>
      </c>
      <c r="F268" s="18" t="n"/>
      <c r="G268" s="18" t="n"/>
      <c r="H268" s="18" t="n"/>
      <c r="I268" s="18" t="n"/>
      <c r="J268" s="37" t="n"/>
      <c r="K268" s="37" t="n"/>
      <c r="L268" s="43">
        <f>IF(C268="","",SUMIFS($J$7:J268,$C$7:C268,C268)-SUMIFS($K$7:K268,$C$7:C268,C268))</f>
        <v/>
      </c>
      <c r="N268">
        <f>IF(AND(C268&lt;&gt;"",C268='Tenant Statement'!$C$6),COUNTIF($C$7:C268,'Tenant Statement'!$C$6),"")</f>
        <v/>
      </c>
    </row>
    <row r="269">
      <c r="B269" s="41" t="n"/>
      <c r="C269" s="18" t="n"/>
      <c r="D269" s="42">
        <f>IF(C269="","",IFERROR(INDEX(TenantProperty,MATCH(C269,Tenants,0)),""))</f>
        <v/>
      </c>
      <c r="E269" s="42">
        <f>IF(C269="","",IFERROR(INDEX(TenantUnit,MATCH(C269,Tenants,0)),""))</f>
        <v/>
      </c>
      <c r="F269" s="18" t="n"/>
      <c r="G269" s="18" t="n"/>
      <c r="H269" s="18" t="n"/>
      <c r="I269" s="18" t="n"/>
      <c r="J269" s="37" t="n"/>
      <c r="K269" s="37" t="n"/>
      <c r="L269" s="43">
        <f>IF(C269="","",SUMIFS($J$7:J269,$C$7:C269,C269)-SUMIFS($K$7:K269,$C$7:C269,C269))</f>
        <v/>
      </c>
      <c r="N269">
        <f>IF(AND(C269&lt;&gt;"",C269='Tenant Statement'!$C$6),COUNTIF($C$7:C269,'Tenant Statement'!$C$6),"")</f>
        <v/>
      </c>
    </row>
    <row r="270">
      <c r="B270" s="41" t="n"/>
      <c r="C270" s="18" t="n"/>
      <c r="D270" s="42">
        <f>IF(C270="","",IFERROR(INDEX(TenantProperty,MATCH(C270,Tenants,0)),""))</f>
        <v/>
      </c>
      <c r="E270" s="42">
        <f>IF(C270="","",IFERROR(INDEX(TenantUnit,MATCH(C270,Tenants,0)),""))</f>
        <v/>
      </c>
      <c r="F270" s="18" t="n"/>
      <c r="G270" s="18" t="n"/>
      <c r="H270" s="18" t="n"/>
      <c r="I270" s="18" t="n"/>
      <c r="J270" s="37" t="n"/>
      <c r="K270" s="37" t="n"/>
      <c r="L270" s="43">
        <f>IF(C270="","",SUMIFS($J$7:J270,$C$7:C270,C270)-SUMIFS($K$7:K270,$C$7:C270,C270))</f>
        <v/>
      </c>
      <c r="N270">
        <f>IF(AND(C270&lt;&gt;"",C270='Tenant Statement'!$C$6),COUNTIF($C$7:C270,'Tenant Statement'!$C$6),"")</f>
        <v/>
      </c>
    </row>
    <row r="271">
      <c r="B271" s="41" t="n"/>
      <c r="C271" s="18" t="n"/>
      <c r="D271" s="42">
        <f>IF(C271="","",IFERROR(INDEX(TenantProperty,MATCH(C271,Tenants,0)),""))</f>
        <v/>
      </c>
      <c r="E271" s="42">
        <f>IF(C271="","",IFERROR(INDEX(TenantUnit,MATCH(C271,Tenants,0)),""))</f>
        <v/>
      </c>
      <c r="F271" s="18" t="n"/>
      <c r="G271" s="18" t="n"/>
      <c r="H271" s="18" t="n"/>
      <c r="I271" s="18" t="n"/>
      <c r="J271" s="37" t="n"/>
      <c r="K271" s="37" t="n"/>
      <c r="L271" s="43">
        <f>IF(C271="","",SUMIFS($J$7:J271,$C$7:C271,C271)-SUMIFS($K$7:K271,$C$7:C271,C271))</f>
        <v/>
      </c>
      <c r="N271">
        <f>IF(AND(C271&lt;&gt;"",C271='Tenant Statement'!$C$6),COUNTIF($C$7:C271,'Tenant Statement'!$C$6),"")</f>
        <v/>
      </c>
    </row>
    <row r="272">
      <c r="B272" s="41" t="n"/>
      <c r="C272" s="18" t="n"/>
      <c r="D272" s="42">
        <f>IF(C272="","",IFERROR(INDEX(TenantProperty,MATCH(C272,Tenants,0)),""))</f>
        <v/>
      </c>
      <c r="E272" s="42">
        <f>IF(C272="","",IFERROR(INDEX(TenantUnit,MATCH(C272,Tenants,0)),""))</f>
        <v/>
      </c>
      <c r="F272" s="18" t="n"/>
      <c r="G272" s="18" t="n"/>
      <c r="H272" s="18" t="n"/>
      <c r="I272" s="18" t="n"/>
      <c r="J272" s="37" t="n"/>
      <c r="K272" s="37" t="n"/>
      <c r="L272" s="43">
        <f>IF(C272="","",SUMIFS($J$7:J272,$C$7:C272,C272)-SUMIFS($K$7:K272,$C$7:C272,C272))</f>
        <v/>
      </c>
      <c r="N272">
        <f>IF(AND(C272&lt;&gt;"",C272='Tenant Statement'!$C$6),COUNTIF($C$7:C272,'Tenant Statement'!$C$6),"")</f>
        <v/>
      </c>
    </row>
    <row r="273">
      <c r="B273" s="41" t="n"/>
      <c r="C273" s="18" t="n"/>
      <c r="D273" s="42">
        <f>IF(C273="","",IFERROR(INDEX(TenantProperty,MATCH(C273,Tenants,0)),""))</f>
        <v/>
      </c>
      <c r="E273" s="42">
        <f>IF(C273="","",IFERROR(INDEX(TenantUnit,MATCH(C273,Tenants,0)),""))</f>
        <v/>
      </c>
      <c r="F273" s="18" t="n"/>
      <c r="G273" s="18" t="n"/>
      <c r="H273" s="18" t="n"/>
      <c r="I273" s="18" t="n"/>
      <c r="J273" s="37" t="n"/>
      <c r="K273" s="37" t="n"/>
      <c r="L273" s="43">
        <f>IF(C273="","",SUMIFS($J$7:J273,$C$7:C273,C273)-SUMIFS($K$7:K273,$C$7:C273,C273))</f>
        <v/>
      </c>
      <c r="N273">
        <f>IF(AND(C273&lt;&gt;"",C273='Tenant Statement'!$C$6),COUNTIF($C$7:C273,'Tenant Statement'!$C$6),"")</f>
        <v/>
      </c>
    </row>
    <row r="274">
      <c r="B274" s="41" t="n"/>
      <c r="C274" s="18" t="n"/>
      <c r="D274" s="42">
        <f>IF(C274="","",IFERROR(INDEX(TenantProperty,MATCH(C274,Tenants,0)),""))</f>
        <v/>
      </c>
      <c r="E274" s="42">
        <f>IF(C274="","",IFERROR(INDEX(TenantUnit,MATCH(C274,Tenants,0)),""))</f>
        <v/>
      </c>
      <c r="F274" s="18" t="n"/>
      <c r="G274" s="18" t="n"/>
      <c r="H274" s="18" t="n"/>
      <c r="I274" s="18" t="n"/>
      <c r="J274" s="37" t="n"/>
      <c r="K274" s="37" t="n"/>
      <c r="L274" s="43">
        <f>IF(C274="","",SUMIFS($J$7:J274,$C$7:C274,C274)-SUMIFS($K$7:K274,$C$7:C274,C274))</f>
        <v/>
      </c>
      <c r="N274">
        <f>IF(AND(C274&lt;&gt;"",C274='Tenant Statement'!$C$6),COUNTIF($C$7:C274,'Tenant Statement'!$C$6),"")</f>
        <v/>
      </c>
    </row>
    <row r="275">
      <c r="B275" s="41" t="n"/>
      <c r="C275" s="18" t="n"/>
      <c r="D275" s="42">
        <f>IF(C275="","",IFERROR(INDEX(TenantProperty,MATCH(C275,Tenants,0)),""))</f>
        <v/>
      </c>
      <c r="E275" s="42">
        <f>IF(C275="","",IFERROR(INDEX(TenantUnit,MATCH(C275,Tenants,0)),""))</f>
        <v/>
      </c>
      <c r="F275" s="18" t="n"/>
      <c r="G275" s="18" t="n"/>
      <c r="H275" s="18" t="n"/>
      <c r="I275" s="18" t="n"/>
      <c r="J275" s="37" t="n"/>
      <c r="K275" s="37" t="n"/>
      <c r="L275" s="43">
        <f>IF(C275="","",SUMIFS($J$7:J275,$C$7:C275,C275)-SUMIFS($K$7:K275,$C$7:C275,C275))</f>
        <v/>
      </c>
      <c r="N275">
        <f>IF(AND(C275&lt;&gt;"",C275='Tenant Statement'!$C$6),COUNTIF($C$7:C275,'Tenant Statement'!$C$6),"")</f>
        <v/>
      </c>
    </row>
    <row r="276">
      <c r="B276" s="41" t="n"/>
      <c r="C276" s="18" t="n"/>
      <c r="D276" s="42">
        <f>IF(C276="","",IFERROR(INDEX(TenantProperty,MATCH(C276,Tenants,0)),""))</f>
        <v/>
      </c>
      <c r="E276" s="42">
        <f>IF(C276="","",IFERROR(INDEX(TenantUnit,MATCH(C276,Tenants,0)),""))</f>
        <v/>
      </c>
      <c r="F276" s="18" t="n"/>
      <c r="G276" s="18" t="n"/>
      <c r="H276" s="18" t="n"/>
      <c r="I276" s="18" t="n"/>
      <c r="J276" s="37" t="n"/>
      <c r="K276" s="37" t="n"/>
      <c r="L276" s="43">
        <f>IF(C276="","",SUMIFS($J$7:J276,$C$7:C276,C276)-SUMIFS($K$7:K276,$C$7:C276,C276))</f>
        <v/>
      </c>
      <c r="N276">
        <f>IF(AND(C276&lt;&gt;"",C276='Tenant Statement'!$C$6),COUNTIF($C$7:C276,'Tenant Statement'!$C$6),"")</f>
        <v/>
      </c>
    </row>
    <row r="277">
      <c r="B277" s="41" t="n"/>
      <c r="C277" s="18" t="n"/>
      <c r="D277" s="42">
        <f>IF(C277="","",IFERROR(INDEX(TenantProperty,MATCH(C277,Tenants,0)),""))</f>
        <v/>
      </c>
      <c r="E277" s="42">
        <f>IF(C277="","",IFERROR(INDEX(TenantUnit,MATCH(C277,Tenants,0)),""))</f>
        <v/>
      </c>
      <c r="F277" s="18" t="n"/>
      <c r="G277" s="18" t="n"/>
      <c r="H277" s="18" t="n"/>
      <c r="I277" s="18" t="n"/>
      <c r="J277" s="37" t="n"/>
      <c r="K277" s="37" t="n"/>
      <c r="L277" s="43">
        <f>IF(C277="","",SUMIFS($J$7:J277,$C$7:C277,C277)-SUMIFS($K$7:K277,$C$7:C277,C277))</f>
        <v/>
      </c>
      <c r="N277">
        <f>IF(AND(C277&lt;&gt;"",C277='Tenant Statement'!$C$6),COUNTIF($C$7:C277,'Tenant Statement'!$C$6),"")</f>
        <v/>
      </c>
    </row>
    <row r="278">
      <c r="B278" s="41" t="n"/>
      <c r="C278" s="18" t="n"/>
      <c r="D278" s="42">
        <f>IF(C278="","",IFERROR(INDEX(TenantProperty,MATCH(C278,Tenants,0)),""))</f>
        <v/>
      </c>
      <c r="E278" s="42">
        <f>IF(C278="","",IFERROR(INDEX(TenantUnit,MATCH(C278,Tenants,0)),""))</f>
        <v/>
      </c>
      <c r="F278" s="18" t="n"/>
      <c r="G278" s="18" t="n"/>
      <c r="H278" s="18" t="n"/>
      <c r="I278" s="18" t="n"/>
      <c r="J278" s="37" t="n"/>
      <c r="K278" s="37" t="n"/>
      <c r="L278" s="43">
        <f>IF(C278="","",SUMIFS($J$7:J278,$C$7:C278,C278)-SUMIFS($K$7:K278,$C$7:C278,C278))</f>
        <v/>
      </c>
      <c r="N278">
        <f>IF(AND(C278&lt;&gt;"",C278='Tenant Statement'!$C$6),COUNTIF($C$7:C278,'Tenant Statement'!$C$6),"")</f>
        <v/>
      </c>
    </row>
    <row r="279">
      <c r="B279" s="41" t="n"/>
      <c r="C279" s="18" t="n"/>
      <c r="D279" s="42">
        <f>IF(C279="","",IFERROR(INDEX(TenantProperty,MATCH(C279,Tenants,0)),""))</f>
        <v/>
      </c>
      <c r="E279" s="42">
        <f>IF(C279="","",IFERROR(INDEX(TenantUnit,MATCH(C279,Tenants,0)),""))</f>
        <v/>
      </c>
      <c r="F279" s="18" t="n"/>
      <c r="G279" s="18" t="n"/>
      <c r="H279" s="18" t="n"/>
      <c r="I279" s="18" t="n"/>
      <c r="J279" s="37" t="n"/>
      <c r="K279" s="37" t="n"/>
      <c r="L279" s="43">
        <f>IF(C279="","",SUMIFS($J$7:J279,$C$7:C279,C279)-SUMIFS($K$7:K279,$C$7:C279,C279))</f>
        <v/>
      </c>
      <c r="N279">
        <f>IF(AND(C279&lt;&gt;"",C279='Tenant Statement'!$C$6),COUNTIF($C$7:C279,'Tenant Statement'!$C$6),"")</f>
        <v/>
      </c>
    </row>
    <row r="280">
      <c r="B280" s="41" t="n"/>
      <c r="C280" s="18" t="n"/>
      <c r="D280" s="42">
        <f>IF(C280="","",IFERROR(INDEX(TenantProperty,MATCH(C280,Tenants,0)),""))</f>
        <v/>
      </c>
      <c r="E280" s="42">
        <f>IF(C280="","",IFERROR(INDEX(TenantUnit,MATCH(C280,Tenants,0)),""))</f>
        <v/>
      </c>
      <c r="F280" s="18" t="n"/>
      <c r="G280" s="18" t="n"/>
      <c r="H280" s="18" t="n"/>
      <c r="I280" s="18" t="n"/>
      <c r="J280" s="37" t="n"/>
      <c r="K280" s="37" t="n"/>
      <c r="L280" s="43">
        <f>IF(C280="","",SUMIFS($J$7:J280,$C$7:C280,C280)-SUMIFS($K$7:K280,$C$7:C280,C280))</f>
        <v/>
      </c>
      <c r="N280">
        <f>IF(AND(C280&lt;&gt;"",C280='Tenant Statement'!$C$6),COUNTIF($C$7:C280,'Tenant Statement'!$C$6),"")</f>
        <v/>
      </c>
    </row>
    <row r="281">
      <c r="B281" s="41" t="n"/>
      <c r="C281" s="18" t="n"/>
      <c r="D281" s="42">
        <f>IF(C281="","",IFERROR(INDEX(TenantProperty,MATCH(C281,Tenants,0)),""))</f>
        <v/>
      </c>
      <c r="E281" s="42">
        <f>IF(C281="","",IFERROR(INDEX(TenantUnit,MATCH(C281,Tenants,0)),""))</f>
        <v/>
      </c>
      <c r="F281" s="18" t="n"/>
      <c r="G281" s="18" t="n"/>
      <c r="H281" s="18" t="n"/>
      <c r="I281" s="18" t="n"/>
      <c r="J281" s="37" t="n"/>
      <c r="K281" s="37" t="n"/>
      <c r="L281" s="43">
        <f>IF(C281="","",SUMIFS($J$7:J281,$C$7:C281,C281)-SUMIFS($K$7:K281,$C$7:C281,C281))</f>
        <v/>
      </c>
      <c r="N281">
        <f>IF(AND(C281&lt;&gt;"",C281='Tenant Statement'!$C$6),COUNTIF($C$7:C281,'Tenant Statement'!$C$6),"")</f>
        <v/>
      </c>
    </row>
    <row r="282">
      <c r="B282" s="41" t="n"/>
      <c r="C282" s="18" t="n"/>
      <c r="D282" s="42">
        <f>IF(C282="","",IFERROR(INDEX(TenantProperty,MATCH(C282,Tenants,0)),""))</f>
        <v/>
      </c>
      <c r="E282" s="42">
        <f>IF(C282="","",IFERROR(INDEX(TenantUnit,MATCH(C282,Tenants,0)),""))</f>
        <v/>
      </c>
      <c r="F282" s="18" t="n"/>
      <c r="G282" s="18" t="n"/>
      <c r="H282" s="18" t="n"/>
      <c r="I282" s="18" t="n"/>
      <c r="J282" s="37" t="n"/>
      <c r="K282" s="37" t="n"/>
      <c r="L282" s="43">
        <f>IF(C282="","",SUMIFS($J$7:J282,$C$7:C282,C282)-SUMIFS($K$7:K282,$C$7:C282,C282))</f>
        <v/>
      </c>
      <c r="N282">
        <f>IF(AND(C282&lt;&gt;"",C282='Tenant Statement'!$C$6),COUNTIF($C$7:C282,'Tenant Statement'!$C$6),"")</f>
        <v/>
      </c>
    </row>
    <row r="283">
      <c r="B283" s="41" t="n"/>
      <c r="C283" s="18" t="n"/>
      <c r="D283" s="42">
        <f>IF(C283="","",IFERROR(INDEX(TenantProperty,MATCH(C283,Tenants,0)),""))</f>
        <v/>
      </c>
      <c r="E283" s="42">
        <f>IF(C283="","",IFERROR(INDEX(TenantUnit,MATCH(C283,Tenants,0)),""))</f>
        <v/>
      </c>
      <c r="F283" s="18" t="n"/>
      <c r="G283" s="18" t="n"/>
      <c r="H283" s="18" t="n"/>
      <c r="I283" s="18" t="n"/>
      <c r="J283" s="37" t="n"/>
      <c r="K283" s="37" t="n"/>
      <c r="L283" s="43">
        <f>IF(C283="","",SUMIFS($J$7:J283,$C$7:C283,C283)-SUMIFS($K$7:K283,$C$7:C283,C283))</f>
        <v/>
      </c>
      <c r="N283">
        <f>IF(AND(C283&lt;&gt;"",C283='Tenant Statement'!$C$6),COUNTIF($C$7:C283,'Tenant Statement'!$C$6),"")</f>
        <v/>
      </c>
    </row>
    <row r="284">
      <c r="B284" s="41" t="n"/>
      <c r="C284" s="18" t="n"/>
      <c r="D284" s="42">
        <f>IF(C284="","",IFERROR(INDEX(TenantProperty,MATCH(C284,Tenants,0)),""))</f>
        <v/>
      </c>
      <c r="E284" s="42">
        <f>IF(C284="","",IFERROR(INDEX(TenantUnit,MATCH(C284,Tenants,0)),""))</f>
        <v/>
      </c>
      <c r="F284" s="18" t="n"/>
      <c r="G284" s="18" t="n"/>
      <c r="H284" s="18" t="n"/>
      <c r="I284" s="18" t="n"/>
      <c r="J284" s="37" t="n"/>
      <c r="K284" s="37" t="n"/>
      <c r="L284" s="43">
        <f>IF(C284="","",SUMIFS($J$7:J284,$C$7:C284,C284)-SUMIFS($K$7:K284,$C$7:C284,C284))</f>
        <v/>
      </c>
      <c r="N284">
        <f>IF(AND(C284&lt;&gt;"",C284='Tenant Statement'!$C$6),COUNTIF($C$7:C284,'Tenant Statement'!$C$6),"")</f>
        <v/>
      </c>
    </row>
    <row r="285">
      <c r="B285" s="41" t="n"/>
      <c r="C285" s="18" t="n"/>
      <c r="D285" s="42">
        <f>IF(C285="","",IFERROR(INDEX(TenantProperty,MATCH(C285,Tenants,0)),""))</f>
        <v/>
      </c>
      <c r="E285" s="42">
        <f>IF(C285="","",IFERROR(INDEX(TenantUnit,MATCH(C285,Tenants,0)),""))</f>
        <v/>
      </c>
      <c r="F285" s="18" t="n"/>
      <c r="G285" s="18" t="n"/>
      <c r="H285" s="18" t="n"/>
      <c r="I285" s="18" t="n"/>
      <c r="J285" s="37" t="n"/>
      <c r="K285" s="37" t="n"/>
      <c r="L285" s="43">
        <f>IF(C285="","",SUMIFS($J$7:J285,$C$7:C285,C285)-SUMIFS($K$7:K285,$C$7:C285,C285))</f>
        <v/>
      </c>
      <c r="N285">
        <f>IF(AND(C285&lt;&gt;"",C285='Tenant Statement'!$C$6),COUNTIF($C$7:C285,'Tenant Statement'!$C$6),"")</f>
        <v/>
      </c>
    </row>
    <row r="286">
      <c r="B286" s="41" t="n"/>
      <c r="C286" s="18" t="n"/>
      <c r="D286" s="42">
        <f>IF(C286="","",IFERROR(INDEX(TenantProperty,MATCH(C286,Tenants,0)),""))</f>
        <v/>
      </c>
      <c r="E286" s="42">
        <f>IF(C286="","",IFERROR(INDEX(TenantUnit,MATCH(C286,Tenants,0)),""))</f>
        <v/>
      </c>
      <c r="F286" s="18" t="n"/>
      <c r="G286" s="18" t="n"/>
      <c r="H286" s="18" t="n"/>
      <c r="I286" s="18" t="n"/>
      <c r="J286" s="37" t="n"/>
      <c r="K286" s="37" t="n"/>
      <c r="L286" s="43">
        <f>IF(C286="","",SUMIFS($J$7:J286,$C$7:C286,C286)-SUMIFS($K$7:K286,$C$7:C286,C286))</f>
        <v/>
      </c>
      <c r="N286">
        <f>IF(AND(C286&lt;&gt;"",C286='Tenant Statement'!$C$6),COUNTIF($C$7:C286,'Tenant Statement'!$C$6),"")</f>
        <v/>
      </c>
    </row>
    <row r="287">
      <c r="B287" s="41" t="n"/>
      <c r="C287" s="18" t="n"/>
      <c r="D287" s="42">
        <f>IF(C287="","",IFERROR(INDEX(TenantProperty,MATCH(C287,Tenants,0)),""))</f>
        <v/>
      </c>
      <c r="E287" s="42">
        <f>IF(C287="","",IFERROR(INDEX(TenantUnit,MATCH(C287,Tenants,0)),""))</f>
        <v/>
      </c>
      <c r="F287" s="18" t="n"/>
      <c r="G287" s="18" t="n"/>
      <c r="H287" s="18" t="n"/>
      <c r="I287" s="18" t="n"/>
      <c r="J287" s="37" t="n"/>
      <c r="K287" s="37" t="n"/>
      <c r="L287" s="43">
        <f>IF(C287="","",SUMIFS($J$7:J287,$C$7:C287,C287)-SUMIFS($K$7:K287,$C$7:C287,C287))</f>
        <v/>
      </c>
      <c r="N287">
        <f>IF(AND(C287&lt;&gt;"",C287='Tenant Statement'!$C$6),COUNTIF($C$7:C287,'Tenant Statement'!$C$6),"")</f>
        <v/>
      </c>
    </row>
    <row r="288">
      <c r="B288" s="41" t="n"/>
      <c r="C288" s="18" t="n"/>
      <c r="D288" s="42">
        <f>IF(C288="","",IFERROR(INDEX(TenantProperty,MATCH(C288,Tenants,0)),""))</f>
        <v/>
      </c>
      <c r="E288" s="42">
        <f>IF(C288="","",IFERROR(INDEX(TenantUnit,MATCH(C288,Tenants,0)),""))</f>
        <v/>
      </c>
      <c r="F288" s="18" t="n"/>
      <c r="G288" s="18" t="n"/>
      <c r="H288" s="18" t="n"/>
      <c r="I288" s="18" t="n"/>
      <c r="J288" s="37" t="n"/>
      <c r="K288" s="37" t="n"/>
      <c r="L288" s="43">
        <f>IF(C288="","",SUMIFS($J$7:J288,$C$7:C288,C288)-SUMIFS($K$7:K288,$C$7:C288,C288))</f>
        <v/>
      </c>
      <c r="N288">
        <f>IF(AND(C288&lt;&gt;"",C288='Tenant Statement'!$C$6),COUNTIF($C$7:C288,'Tenant Statement'!$C$6),"")</f>
        <v/>
      </c>
    </row>
    <row r="289">
      <c r="B289" s="41" t="n"/>
      <c r="C289" s="18" t="n"/>
      <c r="D289" s="42">
        <f>IF(C289="","",IFERROR(INDEX(TenantProperty,MATCH(C289,Tenants,0)),""))</f>
        <v/>
      </c>
      <c r="E289" s="42">
        <f>IF(C289="","",IFERROR(INDEX(TenantUnit,MATCH(C289,Tenants,0)),""))</f>
        <v/>
      </c>
      <c r="F289" s="18" t="n"/>
      <c r="G289" s="18" t="n"/>
      <c r="H289" s="18" t="n"/>
      <c r="I289" s="18" t="n"/>
      <c r="J289" s="37" t="n"/>
      <c r="K289" s="37" t="n"/>
      <c r="L289" s="43">
        <f>IF(C289="","",SUMIFS($J$7:J289,$C$7:C289,C289)-SUMIFS($K$7:K289,$C$7:C289,C289))</f>
        <v/>
      </c>
      <c r="N289">
        <f>IF(AND(C289&lt;&gt;"",C289='Tenant Statement'!$C$6),COUNTIF($C$7:C289,'Tenant Statement'!$C$6),"")</f>
        <v/>
      </c>
    </row>
    <row r="290">
      <c r="B290" s="41" t="n"/>
      <c r="C290" s="18" t="n"/>
      <c r="D290" s="42">
        <f>IF(C290="","",IFERROR(INDEX(TenantProperty,MATCH(C290,Tenants,0)),""))</f>
        <v/>
      </c>
      <c r="E290" s="42">
        <f>IF(C290="","",IFERROR(INDEX(TenantUnit,MATCH(C290,Tenants,0)),""))</f>
        <v/>
      </c>
      <c r="F290" s="18" t="n"/>
      <c r="G290" s="18" t="n"/>
      <c r="H290" s="18" t="n"/>
      <c r="I290" s="18" t="n"/>
      <c r="J290" s="37" t="n"/>
      <c r="K290" s="37" t="n"/>
      <c r="L290" s="43">
        <f>IF(C290="","",SUMIFS($J$7:J290,$C$7:C290,C290)-SUMIFS($K$7:K290,$C$7:C290,C290))</f>
        <v/>
      </c>
      <c r="N290">
        <f>IF(AND(C290&lt;&gt;"",C290='Tenant Statement'!$C$6),COUNTIF($C$7:C290,'Tenant Statement'!$C$6),"")</f>
        <v/>
      </c>
    </row>
    <row r="291">
      <c r="B291" s="41" t="n"/>
      <c r="C291" s="18" t="n"/>
      <c r="D291" s="42">
        <f>IF(C291="","",IFERROR(INDEX(TenantProperty,MATCH(C291,Tenants,0)),""))</f>
        <v/>
      </c>
      <c r="E291" s="42">
        <f>IF(C291="","",IFERROR(INDEX(TenantUnit,MATCH(C291,Tenants,0)),""))</f>
        <v/>
      </c>
      <c r="F291" s="18" t="n"/>
      <c r="G291" s="18" t="n"/>
      <c r="H291" s="18" t="n"/>
      <c r="I291" s="18" t="n"/>
      <c r="J291" s="37" t="n"/>
      <c r="K291" s="37" t="n"/>
      <c r="L291" s="43">
        <f>IF(C291="","",SUMIFS($J$7:J291,$C$7:C291,C291)-SUMIFS($K$7:K291,$C$7:C291,C291))</f>
        <v/>
      </c>
      <c r="N291">
        <f>IF(AND(C291&lt;&gt;"",C291='Tenant Statement'!$C$6),COUNTIF($C$7:C291,'Tenant Statement'!$C$6),"")</f>
        <v/>
      </c>
    </row>
    <row r="292">
      <c r="B292" s="41" t="n"/>
      <c r="C292" s="18" t="n"/>
      <c r="D292" s="42">
        <f>IF(C292="","",IFERROR(INDEX(TenantProperty,MATCH(C292,Tenants,0)),""))</f>
        <v/>
      </c>
      <c r="E292" s="42">
        <f>IF(C292="","",IFERROR(INDEX(TenantUnit,MATCH(C292,Tenants,0)),""))</f>
        <v/>
      </c>
      <c r="F292" s="18" t="n"/>
      <c r="G292" s="18" t="n"/>
      <c r="H292" s="18" t="n"/>
      <c r="I292" s="18" t="n"/>
      <c r="J292" s="37" t="n"/>
      <c r="K292" s="37" t="n"/>
      <c r="L292" s="43">
        <f>IF(C292="","",SUMIFS($J$7:J292,$C$7:C292,C292)-SUMIFS($K$7:K292,$C$7:C292,C292))</f>
        <v/>
      </c>
      <c r="N292">
        <f>IF(AND(C292&lt;&gt;"",C292='Tenant Statement'!$C$6),COUNTIF($C$7:C292,'Tenant Statement'!$C$6),"")</f>
        <v/>
      </c>
    </row>
    <row r="293">
      <c r="B293" s="41" t="n"/>
      <c r="C293" s="18" t="n"/>
      <c r="D293" s="42">
        <f>IF(C293="","",IFERROR(INDEX(TenantProperty,MATCH(C293,Tenants,0)),""))</f>
        <v/>
      </c>
      <c r="E293" s="42">
        <f>IF(C293="","",IFERROR(INDEX(TenantUnit,MATCH(C293,Tenants,0)),""))</f>
        <v/>
      </c>
      <c r="F293" s="18" t="n"/>
      <c r="G293" s="18" t="n"/>
      <c r="H293" s="18" t="n"/>
      <c r="I293" s="18" t="n"/>
      <c r="J293" s="37" t="n"/>
      <c r="K293" s="37" t="n"/>
      <c r="L293" s="43">
        <f>IF(C293="","",SUMIFS($J$7:J293,$C$7:C293,C293)-SUMIFS($K$7:K293,$C$7:C293,C293))</f>
        <v/>
      </c>
      <c r="N293">
        <f>IF(AND(C293&lt;&gt;"",C293='Tenant Statement'!$C$6),COUNTIF($C$7:C293,'Tenant Statement'!$C$6),"")</f>
        <v/>
      </c>
    </row>
    <row r="294">
      <c r="B294" s="41" t="n"/>
      <c r="C294" s="18" t="n"/>
      <c r="D294" s="42">
        <f>IF(C294="","",IFERROR(INDEX(TenantProperty,MATCH(C294,Tenants,0)),""))</f>
        <v/>
      </c>
      <c r="E294" s="42">
        <f>IF(C294="","",IFERROR(INDEX(TenantUnit,MATCH(C294,Tenants,0)),""))</f>
        <v/>
      </c>
      <c r="F294" s="18" t="n"/>
      <c r="G294" s="18" t="n"/>
      <c r="H294" s="18" t="n"/>
      <c r="I294" s="18" t="n"/>
      <c r="J294" s="37" t="n"/>
      <c r="K294" s="37" t="n"/>
      <c r="L294" s="43">
        <f>IF(C294="","",SUMIFS($J$7:J294,$C$7:C294,C294)-SUMIFS($K$7:K294,$C$7:C294,C294))</f>
        <v/>
      </c>
      <c r="N294">
        <f>IF(AND(C294&lt;&gt;"",C294='Tenant Statement'!$C$6),COUNTIF($C$7:C294,'Tenant Statement'!$C$6),"")</f>
        <v/>
      </c>
    </row>
    <row r="295">
      <c r="B295" s="41" t="n"/>
      <c r="C295" s="18" t="n"/>
      <c r="D295" s="42">
        <f>IF(C295="","",IFERROR(INDEX(TenantProperty,MATCH(C295,Tenants,0)),""))</f>
        <v/>
      </c>
      <c r="E295" s="42">
        <f>IF(C295="","",IFERROR(INDEX(TenantUnit,MATCH(C295,Tenants,0)),""))</f>
        <v/>
      </c>
      <c r="F295" s="18" t="n"/>
      <c r="G295" s="18" t="n"/>
      <c r="H295" s="18" t="n"/>
      <c r="I295" s="18" t="n"/>
      <c r="J295" s="37" t="n"/>
      <c r="K295" s="37" t="n"/>
      <c r="L295" s="43">
        <f>IF(C295="","",SUMIFS($J$7:J295,$C$7:C295,C295)-SUMIFS($K$7:K295,$C$7:C295,C295))</f>
        <v/>
      </c>
      <c r="N295">
        <f>IF(AND(C295&lt;&gt;"",C295='Tenant Statement'!$C$6),COUNTIF($C$7:C295,'Tenant Statement'!$C$6),"")</f>
        <v/>
      </c>
    </row>
    <row r="296">
      <c r="B296" s="41" t="n"/>
      <c r="C296" s="18" t="n"/>
      <c r="D296" s="42">
        <f>IF(C296="","",IFERROR(INDEX(TenantProperty,MATCH(C296,Tenants,0)),""))</f>
        <v/>
      </c>
      <c r="E296" s="42">
        <f>IF(C296="","",IFERROR(INDEX(TenantUnit,MATCH(C296,Tenants,0)),""))</f>
        <v/>
      </c>
      <c r="F296" s="18" t="n"/>
      <c r="G296" s="18" t="n"/>
      <c r="H296" s="18" t="n"/>
      <c r="I296" s="18" t="n"/>
      <c r="J296" s="37" t="n"/>
      <c r="K296" s="37" t="n"/>
      <c r="L296" s="43">
        <f>IF(C296="","",SUMIFS($J$7:J296,$C$7:C296,C296)-SUMIFS($K$7:K296,$C$7:C296,C296))</f>
        <v/>
      </c>
      <c r="N296">
        <f>IF(AND(C296&lt;&gt;"",C296='Tenant Statement'!$C$6),COUNTIF($C$7:C296,'Tenant Statement'!$C$6),"")</f>
        <v/>
      </c>
    </row>
    <row r="297">
      <c r="B297" s="41" t="n"/>
      <c r="C297" s="18" t="n"/>
      <c r="D297" s="42">
        <f>IF(C297="","",IFERROR(INDEX(TenantProperty,MATCH(C297,Tenants,0)),""))</f>
        <v/>
      </c>
      <c r="E297" s="42">
        <f>IF(C297="","",IFERROR(INDEX(TenantUnit,MATCH(C297,Tenants,0)),""))</f>
        <v/>
      </c>
      <c r="F297" s="18" t="n"/>
      <c r="G297" s="18" t="n"/>
      <c r="H297" s="18" t="n"/>
      <c r="I297" s="18" t="n"/>
      <c r="J297" s="37" t="n"/>
      <c r="K297" s="37" t="n"/>
      <c r="L297" s="43">
        <f>IF(C297="","",SUMIFS($J$7:J297,$C$7:C297,C297)-SUMIFS($K$7:K297,$C$7:C297,C297))</f>
        <v/>
      </c>
      <c r="N297">
        <f>IF(AND(C297&lt;&gt;"",C297='Tenant Statement'!$C$6),COUNTIF($C$7:C297,'Tenant Statement'!$C$6),"")</f>
        <v/>
      </c>
    </row>
    <row r="298">
      <c r="B298" s="41" t="n"/>
      <c r="C298" s="18" t="n"/>
      <c r="D298" s="42">
        <f>IF(C298="","",IFERROR(INDEX(TenantProperty,MATCH(C298,Tenants,0)),""))</f>
        <v/>
      </c>
      <c r="E298" s="42">
        <f>IF(C298="","",IFERROR(INDEX(TenantUnit,MATCH(C298,Tenants,0)),""))</f>
        <v/>
      </c>
      <c r="F298" s="18" t="n"/>
      <c r="G298" s="18" t="n"/>
      <c r="H298" s="18" t="n"/>
      <c r="I298" s="18" t="n"/>
      <c r="J298" s="37" t="n"/>
      <c r="K298" s="37" t="n"/>
      <c r="L298" s="43">
        <f>IF(C298="","",SUMIFS($J$7:J298,$C$7:C298,C298)-SUMIFS($K$7:K298,$C$7:C298,C298))</f>
        <v/>
      </c>
      <c r="N298">
        <f>IF(AND(C298&lt;&gt;"",C298='Tenant Statement'!$C$6),COUNTIF($C$7:C298,'Tenant Statement'!$C$6),"")</f>
        <v/>
      </c>
    </row>
    <row r="299">
      <c r="B299" s="41" t="n"/>
      <c r="C299" s="18" t="n"/>
      <c r="D299" s="42">
        <f>IF(C299="","",IFERROR(INDEX(TenantProperty,MATCH(C299,Tenants,0)),""))</f>
        <v/>
      </c>
      <c r="E299" s="42">
        <f>IF(C299="","",IFERROR(INDEX(TenantUnit,MATCH(C299,Tenants,0)),""))</f>
        <v/>
      </c>
      <c r="F299" s="18" t="n"/>
      <c r="G299" s="18" t="n"/>
      <c r="H299" s="18" t="n"/>
      <c r="I299" s="18" t="n"/>
      <c r="J299" s="37" t="n"/>
      <c r="K299" s="37" t="n"/>
      <c r="L299" s="43">
        <f>IF(C299="","",SUMIFS($J$7:J299,$C$7:C299,C299)-SUMIFS($K$7:K299,$C$7:C299,C299))</f>
        <v/>
      </c>
      <c r="N299">
        <f>IF(AND(C299&lt;&gt;"",C299='Tenant Statement'!$C$6),COUNTIF($C$7:C299,'Tenant Statement'!$C$6),"")</f>
        <v/>
      </c>
    </row>
    <row r="300">
      <c r="B300" s="41" t="n"/>
      <c r="C300" s="18" t="n"/>
      <c r="D300" s="42">
        <f>IF(C300="","",IFERROR(INDEX(TenantProperty,MATCH(C300,Tenants,0)),""))</f>
        <v/>
      </c>
      <c r="E300" s="42">
        <f>IF(C300="","",IFERROR(INDEX(TenantUnit,MATCH(C300,Tenants,0)),""))</f>
        <v/>
      </c>
      <c r="F300" s="18" t="n"/>
      <c r="G300" s="18" t="n"/>
      <c r="H300" s="18" t="n"/>
      <c r="I300" s="18" t="n"/>
      <c r="J300" s="37" t="n"/>
      <c r="K300" s="37" t="n"/>
      <c r="L300" s="43">
        <f>IF(C300="","",SUMIFS($J$7:J300,$C$7:C300,C300)-SUMIFS($K$7:K300,$C$7:C300,C300))</f>
        <v/>
      </c>
      <c r="N300">
        <f>IF(AND(C300&lt;&gt;"",C300='Tenant Statement'!$C$6),COUNTIF($C$7:C300,'Tenant Statement'!$C$6),"")</f>
        <v/>
      </c>
    </row>
    <row r="301">
      <c r="B301" s="41" t="n"/>
      <c r="C301" s="18" t="n"/>
      <c r="D301" s="42">
        <f>IF(C301="","",IFERROR(INDEX(TenantProperty,MATCH(C301,Tenants,0)),""))</f>
        <v/>
      </c>
      <c r="E301" s="42">
        <f>IF(C301="","",IFERROR(INDEX(TenantUnit,MATCH(C301,Tenants,0)),""))</f>
        <v/>
      </c>
      <c r="F301" s="18" t="n"/>
      <c r="G301" s="18" t="n"/>
      <c r="H301" s="18" t="n"/>
      <c r="I301" s="18" t="n"/>
      <c r="J301" s="37" t="n"/>
      <c r="K301" s="37" t="n"/>
      <c r="L301" s="43">
        <f>IF(C301="","",SUMIFS($J$7:J301,$C$7:C301,C301)-SUMIFS($K$7:K301,$C$7:C301,C301))</f>
        <v/>
      </c>
      <c r="N301">
        <f>IF(AND(C301&lt;&gt;"",C301='Tenant Statement'!$C$6),COUNTIF($C$7:C301,'Tenant Statement'!$C$6),"")</f>
        <v/>
      </c>
    </row>
    <row r="302">
      <c r="B302" s="41" t="n"/>
      <c r="C302" s="18" t="n"/>
      <c r="D302" s="42">
        <f>IF(C302="","",IFERROR(INDEX(TenantProperty,MATCH(C302,Tenants,0)),""))</f>
        <v/>
      </c>
      <c r="E302" s="42">
        <f>IF(C302="","",IFERROR(INDEX(TenantUnit,MATCH(C302,Tenants,0)),""))</f>
        <v/>
      </c>
      <c r="F302" s="18" t="n"/>
      <c r="G302" s="18" t="n"/>
      <c r="H302" s="18" t="n"/>
      <c r="I302" s="18" t="n"/>
      <c r="J302" s="37" t="n"/>
      <c r="K302" s="37" t="n"/>
      <c r="L302" s="43">
        <f>IF(C302="","",SUMIFS($J$7:J302,$C$7:C302,C302)-SUMIFS($K$7:K302,$C$7:C302,C302))</f>
        <v/>
      </c>
      <c r="N302">
        <f>IF(AND(C302&lt;&gt;"",C302='Tenant Statement'!$C$6),COUNTIF($C$7:C302,'Tenant Statement'!$C$6),"")</f>
        <v/>
      </c>
    </row>
    <row r="303">
      <c r="B303" s="41" t="n"/>
      <c r="C303" s="18" t="n"/>
      <c r="D303" s="42">
        <f>IF(C303="","",IFERROR(INDEX(TenantProperty,MATCH(C303,Tenants,0)),""))</f>
        <v/>
      </c>
      <c r="E303" s="42">
        <f>IF(C303="","",IFERROR(INDEX(TenantUnit,MATCH(C303,Tenants,0)),""))</f>
        <v/>
      </c>
      <c r="F303" s="18" t="n"/>
      <c r="G303" s="18" t="n"/>
      <c r="H303" s="18" t="n"/>
      <c r="I303" s="18" t="n"/>
      <c r="J303" s="37" t="n"/>
      <c r="K303" s="37" t="n"/>
      <c r="L303" s="43">
        <f>IF(C303="","",SUMIFS($J$7:J303,$C$7:C303,C303)-SUMIFS($K$7:K303,$C$7:C303,C303))</f>
        <v/>
      </c>
      <c r="N303">
        <f>IF(AND(C303&lt;&gt;"",C303='Tenant Statement'!$C$6),COUNTIF($C$7:C303,'Tenant Statement'!$C$6),"")</f>
        <v/>
      </c>
    </row>
    <row r="304">
      <c r="B304" s="41" t="n"/>
      <c r="C304" s="18" t="n"/>
      <c r="D304" s="42">
        <f>IF(C304="","",IFERROR(INDEX(TenantProperty,MATCH(C304,Tenants,0)),""))</f>
        <v/>
      </c>
      <c r="E304" s="42">
        <f>IF(C304="","",IFERROR(INDEX(TenantUnit,MATCH(C304,Tenants,0)),""))</f>
        <v/>
      </c>
      <c r="F304" s="18" t="n"/>
      <c r="G304" s="18" t="n"/>
      <c r="H304" s="18" t="n"/>
      <c r="I304" s="18" t="n"/>
      <c r="J304" s="37" t="n"/>
      <c r="K304" s="37" t="n"/>
      <c r="L304" s="43">
        <f>IF(C304="","",SUMIFS($J$7:J304,$C$7:C304,C304)-SUMIFS($K$7:K304,$C$7:C304,C304))</f>
        <v/>
      </c>
      <c r="N304">
        <f>IF(AND(C304&lt;&gt;"",C304='Tenant Statement'!$C$6),COUNTIF($C$7:C304,'Tenant Statement'!$C$6),"")</f>
        <v/>
      </c>
    </row>
    <row r="305">
      <c r="B305" s="41" t="n"/>
      <c r="C305" s="18" t="n"/>
      <c r="D305" s="42">
        <f>IF(C305="","",IFERROR(INDEX(TenantProperty,MATCH(C305,Tenants,0)),""))</f>
        <v/>
      </c>
      <c r="E305" s="42">
        <f>IF(C305="","",IFERROR(INDEX(TenantUnit,MATCH(C305,Tenants,0)),""))</f>
        <v/>
      </c>
      <c r="F305" s="18" t="n"/>
      <c r="G305" s="18" t="n"/>
      <c r="H305" s="18" t="n"/>
      <c r="I305" s="18" t="n"/>
      <c r="J305" s="37" t="n"/>
      <c r="K305" s="37" t="n"/>
      <c r="L305" s="43">
        <f>IF(C305="","",SUMIFS($J$7:J305,$C$7:C305,C305)-SUMIFS($K$7:K305,$C$7:C305,C305))</f>
        <v/>
      </c>
      <c r="N305">
        <f>IF(AND(C305&lt;&gt;"",C305='Tenant Statement'!$C$6),COUNTIF($C$7:C305,'Tenant Statement'!$C$6),"")</f>
        <v/>
      </c>
    </row>
    <row r="306">
      <c r="B306" s="41" t="n"/>
      <c r="C306" s="18" t="n"/>
      <c r="D306" s="42">
        <f>IF(C306="","",IFERROR(INDEX(TenantProperty,MATCH(C306,Tenants,0)),""))</f>
        <v/>
      </c>
      <c r="E306" s="42">
        <f>IF(C306="","",IFERROR(INDEX(TenantUnit,MATCH(C306,Tenants,0)),""))</f>
        <v/>
      </c>
      <c r="F306" s="18" t="n"/>
      <c r="G306" s="18" t="n"/>
      <c r="H306" s="18" t="n"/>
      <c r="I306" s="18" t="n"/>
      <c r="J306" s="37" t="n"/>
      <c r="K306" s="37" t="n"/>
      <c r="L306" s="43">
        <f>IF(C306="","",SUMIFS($J$7:J306,$C$7:C306,C306)-SUMIFS($K$7:K306,$C$7:C306,C306))</f>
        <v/>
      </c>
      <c r="N306">
        <f>IF(AND(C306&lt;&gt;"",C306='Tenant Statement'!$C$6),COUNTIF($C$7:C306,'Tenant Statement'!$C$6),"")</f>
        <v/>
      </c>
    </row>
    <row r="307">
      <c r="B307" s="41" t="n"/>
      <c r="C307" s="18" t="n"/>
      <c r="D307" s="42">
        <f>IF(C307="","",IFERROR(INDEX(TenantProperty,MATCH(C307,Tenants,0)),""))</f>
        <v/>
      </c>
      <c r="E307" s="42">
        <f>IF(C307="","",IFERROR(INDEX(TenantUnit,MATCH(C307,Tenants,0)),""))</f>
        <v/>
      </c>
      <c r="F307" s="18" t="n"/>
      <c r="G307" s="18" t="n"/>
      <c r="H307" s="18" t="n"/>
      <c r="I307" s="18" t="n"/>
      <c r="J307" s="37" t="n"/>
      <c r="K307" s="37" t="n"/>
      <c r="L307" s="43">
        <f>IF(C307="","",SUMIFS($J$7:J307,$C$7:C307,C307)-SUMIFS($K$7:K307,$C$7:C307,C307))</f>
        <v/>
      </c>
      <c r="N307">
        <f>IF(AND(C307&lt;&gt;"",C307='Tenant Statement'!$C$6),COUNTIF($C$7:C307,'Tenant Statement'!$C$6),"")</f>
        <v/>
      </c>
    </row>
    <row r="308">
      <c r="B308" s="41" t="n"/>
      <c r="C308" s="18" t="n"/>
      <c r="D308" s="42">
        <f>IF(C308="","",IFERROR(INDEX(TenantProperty,MATCH(C308,Tenants,0)),""))</f>
        <v/>
      </c>
      <c r="E308" s="42">
        <f>IF(C308="","",IFERROR(INDEX(TenantUnit,MATCH(C308,Tenants,0)),""))</f>
        <v/>
      </c>
      <c r="F308" s="18" t="n"/>
      <c r="G308" s="18" t="n"/>
      <c r="H308" s="18" t="n"/>
      <c r="I308" s="18" t="n"/>
      <c r="J308" s="37" t="n"/>
      <c r="K308" s="37" t="n"/>
      <c r="L308" s="43">
        <f>IF(C308="","",SUMIFS($J$7:J308,$C$7:C308,C308)-SUMIFS($K$7:K308,$C$7:C308,C308))</f>
        <v/>
      </c>
      <c r="N308">
        <f>IF(AND(C308&lt;&gt;"",C308='Tenant Statement'!$C$6),COUNTIF($C$7:C308,'Tenant Statement'!$C$6),"")</f>
        <v/>
      </c>
    </row>
    <row r="309">
      <c r="B309" s="41" t="n"/>
      <c r="C309" s="18" t="n"/>
      <c r="D309" s="42">
        <f>IF(C309="","",IFERROR(INDEX(TenantProperty,MATCH(C309,Tenants,0)),""))</f>
        <v/>
      </c>
      <c r="E309" s="42">
        <f>IF(C309="","",IFERROR(INDEX(TenantUnit,MATCH(C309,Tenants,0)),""))</f>
        <v/>
      </c>
      <c r="F309" s="18" t="n"/>
      <c r="G309" s="18" t="n"/>
      <c r="H309" s="18" t="n"/>
      <c r="I309" s="18" t="n"/>
      <c r="J309" s="37" t="n"/>
      <c r="K309" s="37" t="n"/>
      <c r="L309" s="43">
        <f>IF(C309="","",SUMIFS($J$7:J309,$C$7:C309,C309)-SUMIFS($K$7:K309,$C$7:C309,C309))</f>
        <v/>
      </c>
      <c r="N309">
        <f>IF(AND(C309&lt;&gt;"",C309='Tenant Statement'!$C$6),COUNTIF($C$7:C309,'Tenant Statement'!$C$6),"")</f>
        <v/>
      </c>
    </row>
    <row r="310">
      <c r="B310" s="41" t="n"/>
      <c r="C310" s="18" t="n"/>
      <c r="D310" s="42">
        <f>IF(C310="","",IFERROR(INDEX(TenantProperty,MATCH(C310,Tenants,0)),""))</f>
        <v/>
      </c>
      <c r="E310" s="42">
        <f>IF(C310="","",IFERROR(INDEX(TenantUnit,MATCH(C310,Tenants,0)),""))</f>
        <v/>
      </c>
      <c r="F310" s="18" t="n"/>
      <c r="G310" s="18" t="n"/>
      <c r="H310" s="18" t="n"/>
      <c r="I310" s="18" t="n"/>
      <c r="J310" s="37" t="n"/>
      <c r="K310" s="37" t="n"/>
      <c r="L310" s="43">
        <f>IF(C310="","",SUMIFS($J$7:J310,$C$7:C310,C310)-SUMIFS($K$7:K310,$C$7:C310,C310))</f>
        <v/>
      </c>
      <c r="N310">
        <f>IF(AND(C310&lt;&gt;"",C310='Tenant Statement'!$C$6),COUNTIF($C$7:C310,'Tenant Statement'!$C$6),"")</f>
        <v/>
      </c>
    </row>
    <row r="311">
      <c r="B311" s="41" t="n"/>
      <c r="C311" s="18" t="n"/>
      <c r="D311" s="42">
        <f>IF(C311="","",IFERROR(INDEX(TenantProperty,MATCH(C311,Tenants,0)),""))</f>
        <v/>
      </c>
      <c r="E311" s="42">
        <f>IF(C311="","",IFERROR(INDEX(TenantUnit,MATCH(C311,Tenants,0)),""))</f>
        <v/>
      </c>
      <c r="F311" s="18" t="n"/>
      <c r="G311" s="18" t="n"/>
      <c r="H311" s="18" t="n"/>
      <c r="I311" s="18" t="n"/>
      <c r="J311" s="37" t="n"/>
      <c r="K311" s="37" t="n"/>
      <c r="L311" s="43">
        <f>IF(C311="","",SUMIFS($J$7:J311,$C$7:C311,C311)-SUMIFS($K$7:K311,$C$7:C311,C311))</f>
        <v/>
      </c>
      <c r="N311">
        <f>IF(AND(C311&lt;&gt;"",C311='Tenant Statement'!$C$6),COUNTIF($C$7:C311,'Tenant Statement'!$C$6),"")</f>
        <v/>
      </c>
    </row>
    <row r="312">
      <c r="B312" s="41" t="n"/>
      <c r="C312" s="18" t="n"/>
      <c r="D312" s="42">
        <f>IF(C312="","",IFERROR(INDEX(TenantProperty,MATCH(C312,Tenants,0)),""))</f>
        <v/>
      </c>
      <c r="E312" s="42">
        <f>IF(C312="","",IFERROR(INDEX(TenantUnit,MATCH(C312,Tenants,0)),""))</f>
        <v/>
      </c>
      <c r="F312" s="18" t="n"/>
      <c r="G312" s="18" t="n"/>
      <c r="H312" s="18" t="n"/>
      <c r="I312" s="18" t="n"/>
      <c r="J312" s="37" t="n"/>
      <c r="K312" s="37" t="n"/>
      <c r="L312" s="43">
        <f>IF(C312="","",SUMIFS($J$7:J312,$C$7:C312,C312)-SUMIFS($K$7:K312,$C$7:C312,C312))</f>
        <v/>
      </c>
      <c r="N312">
        <f>IF(AND(C312&lt;&gt;"",C312='Tenant Statement'!$C$6),COUNTIF($C$7:C312,'Tenant Statement'!$C$6),"")</f>
        <v/>
      </c>
    </row>
    <row r="313">
      <c r="B313" s="41" t="n"/>
      <c r="C313" s="18" t="n"/>
      <c r="D313" s="42">
        <f>IF(C313="","",IFERROR(INDEX(TenantProperty,MATCH(C313,Tenants,0)),""))</f>
        <v/>
      </c>
      <c r="E313" s="42">
        <f>IF(C313="","",IFERROR(INDEX(TenantUnit,MATCH(C313,Tenants,0)),""))</f>
        <v/>
      </c>
      <c r="F313" s="18" t="n"/>
      <c r="G313" s="18" t="n"/>
      <c r="H313" s="18" t="n"/>
      <c r="I313" s="18" t="n"/>
      <c r="J313" s="37" t="n"/>
      <c r="K313" s="37" t="n"/>
      <c r="L313" s="43">
        <f>IF(C313="","",SUMIFS($J$7:J313,$C$7:C313,C313)-SUMIFS($K$7:K313,$C$7:C313,C313))</f>
        <v/>
      </c>
      <c r="N313">
        <f>IF(AND(C313&lt;&gt;"",C313='Tenant Statement'!$C$6),COUNTIF($C$7:C313,'Tenant Statement'!$C$6),"")</f>
        <v/>
      </c>
    </row>
    <row r="314">
      <c r="B314" s="41" t="n"/>
      <c r="C314" s="18" t="n"/>
      <c r="D314" s="42">
        <f>IF(C314="","",IFERROR(INDEX(TenantProperty,MATCH(C314,Tenants,0)),""))</f>
        <v/>
      </c>
      <c r="E314" s="42">
        <f>IF(C314="","",IFERROR(INDEX(TenantUnit,MATCH(C314,Tenants,0)),""))</f>
        <v/>
      </c>
      <c r="F314" s="18" t="n"/>
      <c r="G314" s="18" t="n"/>
      <c r="H314" s="18" t="n"/>
      <c r="I314" s="18" t="n"/>
      <c r="J314" s="37" t="n"/>
      <c r="K314" s="37" t="n"/>
      <c r="L314" s="43">
        <f>IF(C314="","",SUMIFS($J$7:J314,$C$7:C314,C314)-SUMIFS($K$7:K314,$C$7:C314,C314))</f>
        <v/>
      </c>
      <c r="N314">
        <f>IF(AND(C314&lt;&gt;"",C314='Tenant Statement'!$C$6),COUNTIF($C$7:C314,'Tenant Statement'!$C$6),"")</f>
        <v/>
      </c>
    </row>
    <row r="315">
      <c r="B315" s="41" t="n"/>
      <c r="C315" s="18" t="n"/>
      <c r="D315" s="42">
        <f>IF(C315="","",IFERROR(INDEX(TenantProperty,MATCH(C315,Tenants,0)),""))</f>
        <v/>
      </c>
      <c r="E315" s="42">
        <f>IF(C315="","",IFERROR(INDEX(TenantUnit,MATCH(C315,Tenants,0)),""))</f>
        <v/>
      </c>
      <c r="F315" s="18" t="n"/>
      <c r="G315" s="18" t="n"/>
      <c r="H315" s="18" t="n"/>
      <c r="I315" s="18" t="n"/>
      <c r="J315" s="37" t="n"/>
      <c r="K315" s="37" t="n"/>
      <c r="L315" s="43">
        <f>IF(C315="","",SUMIFS($J$7:J315,$C$7:C315,C315)-SUMIFS($K$7:K315,$C$7:C315,C315))</f>
        <v/>
      </c>
      <c r="N315">
        <f>IF(AND(C315&lt;&gt;"",C315='Tenant Statement'!$C$6),COUNTIF($C$7:C315,'Tenant Statement'!$C$6),"")</f>
        <v/>
      </c>
    </row>
    <row r="316">
      <c r="B316" s="41" t="n"/>
      <c r="C316" s="18" t="n"/>
      <c r="D316" s="42">
        <f>IF(C316="","",IFERROR(INDEX(TenantProperty,MATCH(C316,Tenants,0)),""))</f>
        <v/>
      </c>
      <c r="E316" s="42">
        <f>IF(C316="","",IFERROR(INDEX(TenantUnit,MATCH(C316,Tenants,0)),""))</f>
        <v/>
      </c>
      <c r="F316" s="18" t="n"/>
      <c r="G316" s="18" t="n"/>
      <c r="H316" s="18" t="n"/>
      <c r="I316" s="18" t="n"/>
      <c r="J316" s="37" t="n"/>
      <c r="K316" s="37" t="n"/>
      <c r="L316" s="43">
        <f>IF(C316="","",SUMIFS($J$7:J316,$C$7:C316,C316)-SUMIFS($K$7:K316,$C$7:C316,C316))</f>
        <v/>
      </c>
      <c r="N316">
        <f>IF(AND(C316&lt;&gt;"",C316='Tenant Statement'!$C$6),COUNTIF($C$7:C316,'Tenant Statement'!$C$6),"")</f>
        <v/>
      </c>
    </row>
    <row r="317">
      <c r="B317" s="41" t="n"/>
      <c r="C317" s="18" t="n"/>
      <c r="D317" s="42">
        <f>IF(C317="","",IFERROR(INDEX(TenantProperty,MATCH(C317,Tenants,0)),""))</f>
        <v/>
      </c>
      <c r="E317" s="42">
        <f>IF(C317="","",IFERROR(INDEX(TenantUnit,MATCH(C317,Tenants,0)),""))</f>
        <v/>
      </c>
      <c r="F317" s="18" t="n"/>
      <c r="G317" s="18" t="n"/>
      <c r="H317" s="18" t="n"/>
      <c r="I317" s="18" t="n"/>
      <c r="J317" s="37" t="n"/>
      <c r="K317" s="37" t="n"/>
      <c r="L317" s="43">
        <f>IF(C317="","",SUMIFS($J$7:J317,$C$7:C317,C317)-SUMIFS($K$7:K317,$C$7:C317,C317))</f>
        <v/>
      </c>
      <c r="N317">
        <f>IF(AND(C317&lt;&gt;"",C317='Tenant Statement'!$C$6),COUNTIF($C$7:C317,'Tenant Statement'!$C$6),"")</f>
        <v/>
      </c>
    </row>
    <row r="318">
      <c r="B318" s="41" t="n"/>
      <c r="C318" s="18" t="n"/>
      <c r="D318" s="42">
        <f>IF(C318="","",IFERROR(INDEX(TenantProperty,MATCH(C318,Tenants,0)),""))</f>
        <v/>
      </c>
      <c r="E318" s="42">
        <f>IF(C318="","",IFERROR(INDEX(TenantUnit,MATCH(C318,Tenants,0)),""))</f>
        <v/>
      </c>
      <c r="F318" s="18" t="n"/>
      <c r="G318" s="18" t="n"/>
      <c r="H318" s="18" t="n"/>
      <c r="I318" s="18" t="n"/>
      <c r="J318" s="37" t="n"/>
      <c r="K318" s="37" t="n"/>
      <c r="L318" s="43">
        <f>IF(C318="","",SUMIFS($J$7:J318,$C$7:C318,C318)-SUMIFS($K$7:K318,$C$7:C318,C318))</f>
        <v/>
      </c>
      <c r="N318">
        <f>IF(AND(C318&lt;&gt;"",C318='Tenant Statement'!$C$6),COUNTIF($C$7:C318,'Tenant Statement'!$C$6),"")</f>
        <v/>
      </c>
    </row>
    <row r="319">
      <c r="B319" s="41" t="n"/>
      <c r="C319" s="18" t="n"/>
      <c r="D319" s="42">
        <f>IF(C319="","",IFERROR(INDEX(TenantProperty,MATCH(C319,Tenants,0)),""))</f>
        <v/>
      </c>
      <c r="E319" s="42">
        <f>IF(C319="","",IFERROR(INDEX(TenantUnit,MATCH(C319,Tenants,0)),""))</f>
        <v/>
      </c>
      <c r="F319" s="18" t="n"/>
      <c r="G319" s="18" t="n"/>
      <c r="H319" s="18" t="n"/>
      <c r="I319" s="18" t="n"/>
      <c r="J319" s="37" t="n"/>
      <c r="K319" s="37" t="n"/>
      <c r="L319" s="43">
        <f>IF(C319="","",SUMIFS($J$7:J319,$C$7:C319,C319)-SUMIFS($K$7:K319,$C$7:C319,C319))</f>
        <v/>
      </c>
      <c r="N319">
        <f>IF(AND(C319&lt;&gt;"",C319='Tenant Statement'!$C$6),COUNTIF($C$7:C319,'Tenant Statement'!$C$6),"")</f>
        <v/>
      </c>
    </row>
    <row r="320">
      <c r="B320" s="41" t="n"/>
      <c r="C320" s="18" t="n"/>
      <c r="D320" s="42">
        <f>IF(C320="","",IFERROR(INDEX(TenantProperty,MATCH(C320,Tenants,0)),""))</f>
        <v/>
      </c>
      <c r="E320" s="42">
        <f>IF(C320="","",IFERROR(INDEX(TenantUnit,MATCH(C320,Tenants,0)),""))</f>
        <v/>
      </c>
      <c r="F320" s="18" t="n"/>
      <c r="G320" s="18" t="n"/>
      <c r="H320" s="18" t="n"/>
      <c r="I320" s="18" t="n"/>
      <c r="J320" s="37" t="n"/>
      <c r="K320" s="37" t="n"/>
      <c r="L320" s="43">
        <f>IF(C320="","",SUMIFS($J$7:J320,$C$7:C320,C320)-SUMIFS($K$7:K320,$C$7:C320,C320))</f>
        <v/>
      </c>
      <c r="N320">
        <f>IF(AND(C320&lt;&gt;"",C320='Tenant Statement'!$C$6),COUNTIF($C$7:C320,'Tenant Statement'!$C$6),"")</f>
        <v/>
      </c>
    </row>
    <row r="321">
      <c r="B321" s="41" t="n"/>
      <c r="C321" s="18" t="n"/>
      <c r="D321" s="42">
        <f>IF(C321="","",IFERROR(INDEX(TenantProperty,MATCH(C321,Tenants,0)),""))</f>
        <v/>
      </c>
      <c r="E321" s="42">
        <f>IF(C321="","",IFERROR(INDEX(TenantUnit,MATCH(C321,Tenants,0)),""))</f>
        <v/>
      </c>
      <c r="F321" s="18" t="n"/>
      <c r="G321" s="18" t="n"/>
      <c r="H321" s="18" t="n"/>
      <c r="I321" s="18" t="n"/>
      <c r="J321" s="37" t="n"/>
      <c r="K321" s="37" t="n"/>
      <c r="L321" s="43">
        <f>IF(C321="","",SUMIFS($J$7:J321,$C$7:C321,C321)-SUMIFS($K$7:K321,$C$7:C321,C321))</f>
        <v/>
      </c>
      <c r="N321">
        <f>IF(AND(C321&lt;&gt;"",C321='Tenant Statement'!$C$6),COUNTIF($C$7:C321,'Tenant Statement'!$C$6),"")</f>
        <v/>
      </c>
    </row>
    <row r="322">
      <c r="B322" s="41" t="n"/>
      <c r="C322" s="18" t="n"/>
      <c r="D322" s="42">
        <f>IF(C322="","",IFERROR(INDEX(TenantProperty,MATCH(C322,Tenants,0)),""))</f>
        <v/>
      </c>
      <c r="E322" s="42">
        <f>IF(C322="","",IFERROR(INDEX(TenantUnit,MATCH(C322,Tenants,0)),""))</f>
        <v/>
      </c>
      <c r="F322" s="18" t="n"/>
      <c r="G322" s="18" t="n"/>
      <c r="H322" s="18" t="n"/>
      <c r="I322" s="18" t="n"/>
      <c r="J322" s="37" t="n"/>
      <c r="K322" s="37" t="n"/>
      <c r="L322" s="43">
        <f>IF(C322="","",SUMIFS($J$7:J322,$C$7:C322,C322)-SUMIFS($K$7:K322,$C$7:C322,C322))</f>
        <v/>
      </c>
      <c r="N322">
        <f>IF(AND(C322&lt;&gt;"",C322='Tenant Statement'!$C$6),COUNTIF($C$7:C322,'Tenant Statement'!$C$6),"")</f>
        <v/>
      </c>
    </row>
    <row r="323">
      <c r="B323" s="41" t="n"/>
      <c r="C323" s="18" t="n"/>
      <c r="D323" s="42">
        <f>IF(C323="","",IFERROR(INDEX(TenantProperty,MATCH(C323,Tenants,0)),""))</f>
        <v/>
      </c>
      <c r="E323" s="42">
        <f>IF(C323="","",IFERROR(INDEX(TenantUnit,MATCH(C323,Tenants,0)),""))</f>
        <v/>
      </c>
      <c r="F323" s="18" t="n"/>
      <c r="G323" s="18" t="n"/>
      <c r="H323" s="18" t="n"/>
      <c r="I323" s="18" t="n"/>
      <c r="J323" s="37" t="n"/>
      <c r="K323" s="37" t="n"/>
      <c r="L323" s="43">
        <f>IF(C323="","",SUMIFS($J$7:J323,$C$7:C323,C323)-SUMIFS($K$7:K323,$C$7:C323,C323))</f>
        <v/>
      </c>
      <c r="N323">
        <f>IF(AND(C323&lt;&gt;"",C323='Tenant Statement'!$C$6),COUNTIF($C$7:C323,'Tenant Statement'!$C$6),"")</f>
        <v/>
      </c>
    </row>
    <row r="324">
      <c r="B324" s="41" t="n"/>
      <c r="C324" s="18" t="n"/>
      <c r="D324" s="42">
        <f>IF(C324="","",IFERROR(INDEX(TenantProperty,MATCH(C324,Tenants,0)),""))</f>
        <v/>
      </c>
      <c r="E324" s="42">
        <f>IF(C324="","",IFERROR(INDEX(TenantUnit,MATCH(C324,Tenants,0)),""))</f>
        <v/>
      </c>
      <c r="F324" s="18" t="n"/>
      <c r="G324" s="18" t="n"/>
      <c r="H324" s="18" t="n"/>
      <c r="I324" s="18" t="n"/>
      <c r="J324" s="37" t="n"/>
      <c r="K324" s="37" t="n"/>
      <c r="L324" s="43">
        <f>IF(C324="","",SUMIFS($J$7:J324,$C$7:C324,C324)-SUMIFS($K$7:K324,$C$7:C324,C324))</f>
        <v/>
      </c>
      <c r="N324">
        <f>IF(AND(C324&lt;&gt;"",C324='Tenant Statement'!$C$6),COUNTIF($C$7:C324,'Tenant Statement'!$C$6),"")</f>
        <v/>
      </c>
    </row>
    <row r="325">
      <c r="B325" s="41" t="n"/>
      <c r="C325" s="18" t="n"/>
      <c r="D325" s="42">
        <f>IF(C325="","",IFERROR(INDEX(TenantProperty,MATCH(C325,Tenants,0)),""))</f>
        <v/>
      </c>
      <c r="E325" s="42">
        <f>IF(C325="","",IFERROR(INDEX(TenantUnit,MATCH(C325,Tenants,0)),""))</f>
        <v/>
      </c>
      <c r="F325" s="18" t="n"/>
      <c r="G325" s="18" t="n"/>
      <c r="H325" s="18" t="n"/>
      <c r="I325" s="18" t="n"/>
      <c r="J325" s="37" t="n"/>
      <c r="K325" s="37" t="n"/>
      <c r="L325" s="43">
        <f>IF(C325="","",SUMIFS($J$7:J325,$C$7:C325,C325)-SUMIFS($K$7:K325,$C$7:C325,C325))</f>
        <v/>
      </c>
      <c r="N325">
        <f>IF(AND(C325&lt;&gt;"",C325='Tenant Statement'!$C$6),COUNTIF($C$7:C325,'Tenant Statement'!$C$6),"")</f>
        <v/>
      </c>
    </row>
    <row r="326">
      <c r="B326" s="41" t="n"/>
      <c r="C326" s="18" t="n"/>
      <c r="D326" s="42">
        <f>IF(C326="","",IFERROR(INDEX(TenantProperty,MATCH(C326,Tenants,0)),""))</f>
        <v/>
      </c>
      <c r="E326" s="42">
        <f>IF(C326="","",IFERROR(INDEX(TenantUnit,MATCH(C326,Tenants,0)),""))</f>
        <v/>
      </c>
      <c r="F326" s="18" t="n"/>
      <c r="G326" s="18" t="n"/>
      <c r="H326" s="18" t="n"/>
      <c r="I326" s="18" t="n"/>
      <c r="J326" s="37" t="n"/>
      <c r="K326" s="37" t="n"/>
      <c r="L326" s="43">
        <f>IF(C326="","",SUMIFS($J$7:J326,$C$7:C326,C326)-SUMIFS($K$7:K326,$C$7:C326,C326))</f>
        <v/>
      </c>
      <c r="N326">
        <f>IF(AND(C326&lt;&gt;"",C326='Tenant Statement'!$C$6),COUNTIF($C$7:C326,'Tenant Statement'!$C$6),"")</f>
        <v/>
      </c>
    </row>
    <row r="327">
      <c r="B327" s="41" t="n"/>
      <c r="C327" s="18" t="n"/>
      <c r="D327" s="42">
        <f>IF(C327="","",IFERROR(INDEX(TenantProperty,MATCH(C327,Tenants,0)),""))</f>
        <v/>
      </c>
      <c r="E327" s="42">
        <f>IF(C327="","",IFERROR(INDEX(TenantUnit,MATCH(C327,Tenants,0)),""))</f>
        <v/>
      </c>
      <c r="F327" s="18" t="n"/>
      <c r="G327" s="18" t="n"/>
      <c r="H327" s="18" t="n"/>
      <c r="I327" s="18" t="n"/>
      <c r="J327" s="37" t="n"/>
      <c r="K327" s="37" t="n"/>
      <c r="L327" s="43">
        <f>IF(C327="","",SUMIFS($J$7:J327,$C$7:C327,C327)-SUMIFS($K$7:K327,$C$7:C327,C327))</f>
        <v/>
      </c>
      <c r="N327">
        <f>IF(AND(C327&lt;&gt;"",C327='Tenant Statement'!$C$6),COUNTIF($C$7:C327,'Tenant Statement'!$C$6),"")</f>
        <v/>
      </c>
    </row>
    <row r="328">
      <c r="B328" s="41" t="n"/>
      <c r="C328" s="18" t="n"/>
      <c r="D328" s="42">
        <f>IF(C328="","",IFERROR(INDEX(TenantProperty,MATCH(C328,Tenants,0)),""))</f>
        <v/>
      </c>
      <c r="E328" s="42">
        <f>IF(C328="","",IFERROR(INDEX(TenantUnit,MATCH(C328,Tenants,0)),""))</f>
        <v/>
      </c>
      <c r="F328" s="18" t="n"/>
      <c r="G328" s="18" t="n"/>
      <c r="H328" s="18" t="n"/>
      <c r="I328" s="18" t="n"/>
      <c r="J328" s="37" t="n"/>
      <c r="K328" s="37" t="n"/>
      <c r="L328" s="43">
        <f>IF(C328="","",SUMIFS($J$7:J328,$C$7:C328,C328)-SUMIFS($K$7:K328,$C$7:C328,C328))</f>
        <v/>
      </c>
      <c r="N328">
        <f>IF(AND(C328&lt;&gt;"",C328='Tenant Statement'!$C$6),COUNTIF($C$7:C328,'Tenant Statement'!$C$6),"")</f>
        <v/>
      </c>
    </row>
    <row r="329">
      <c r="B329" s="41" t="n"/>
      <c r="C329" s="18" t="n"/>
      <c r="D329" s="42">
        <f>IF(C329="","",IFERROR(INDEX(TenantProperty,MATCH(C329,Tenants,0)),""))</f>
        <v/>
      </c>
      <c r="E329" s="42">
        <f>IF(C329="","",IFERROR(INDEX(TenantUnit,MATCH(C329,Tenants,0)),""))</f>
        <v/>
      </c>
      <c r="F329" s="18" t="n"/>
      <c r="G329" s="18" t="n"/>
      <c r="H329" s="18" t="n"/>
      <c r="I329" s="18" t="n"/>
      <c r="J329" s="37" t="n"/>
      <c r="K329" s="37" t="n"/>
      <c r="L329" s="43">
        <f>IF(C329="","",SUMIFS($J$7:J329,$C$7:C329,C329)-SUMIFS($K$7:K329,$C$7:C329,C329))</f>
        <v/>
      </c>
      <c r="N329">
        <f>IF(AND(C329&lt;&gt;"",C329='Tenant Statement'!$C$6),COUNTIF($C$7:C329,'Tenant Statement'!$C$6),"")</f>
        <v/>
      </c>
    </row>
    <row r="330">
      <c r="B330" s="41" t="n"/>
      <c r="C330" s="18" t="n"/>
      <c r="D330" s="42">
        <f>IF(C330="","",IFERROR(INDEX(TenantProperty,MATCH(C330,Tenants,0)),""))</f>
        <v/>
      </c>
      <c r="E330" s="42">
        <f>IF(C330="","",IFERROR(INDEX(TenantUnit,MATCH(C330,Tenants,0)),""))</f>
        <v/>
      </c>
      <c r="F330" s="18" t="n"/>
      <c r="G330" s="18" t="n"/>
      <c r="H330" s="18" t="n"/>
      <c r="I330" s="18" t="n"/>
      <c r="J330" s="37" t="n"/>
      <c r="K330" s="37" t="n"/>
      <c r="L330" s="43">
        <f>IF(C330="","",SUMIFS($J$7:J330,$C$7:C330,C330)-SUMIFS($K$7:K330,$C$7:C330,C330))</f>
        <v/>
      </c>
      <c r="N330">
        <f>IF(AND(C330&lt;&gt;"",C330='Tenant Statement'!$C$6),COUNTIF($C$7:C330,'Tenant Statement'!$C$6),"")</f>
        <v/>
      </c>
    </row>
    <row r="331">
      <c r="B331" s="41" t="n"/>
      <c r="C331" s="18" t="n"/>
      <c r="D331" s="42">
        <f>IF(C331="","",IFERROR(INDEX(TenantProperty,MATCH(C331,Tenants,0)),""))</f>
        <v/>
      </c>
      <c r="E331" s="42">
        <f>IF(C331="","",IFERROR(INDEX(TenantUnit,MATCH(C331,Tenants,0)),""))</f>
        <v/>
      </c>
      <c r="F331" s="18" t="n"/>
      <c r="G331" s="18" t="n"/>
      <c r="H331" s="18" t="n"/>
      <c r="I331" s="18" t="n"/>
      <c r="J331" s="37" t="n"/>
      <c r="K331" s="37" t="n"/>
      <c r="L331" s="43">
        <f>IF(C331="","",SUMIFS($J$7:J331,$C$7:C331,C331)-SUMIFS($K$7:K331,$C$7:C331,C331))</f>
        <v/>
      </c>
      <c r="N331">
        <f>IF(AND(C331&lt;&gt;"",C331='Tenant Statement'!$C$6),COUNTIF($C$7:C331,'Tenant Statement'!$C$6),"")</f>
        <v/>
      </c>
    </row>
    <row r="332">
      <c r="B332" s="41" t="n"/>
      <c r="C332" s="18" t="n"/>
      <c r="D332" s="42">
        <f>IF(C332="","",IFERROR(INDEX(TenantProperty,MATCH(C332,Tenants,0)),""))</f>
        <v/>
      </c>
      <c r="E332" s="42">
        <f>IF(C332="","",IFERROR(INDEX(TenantUnit,MATCH(C332,Tenants,0)),""))</f>
        <v/>
      </c>
      <c r="F332" s="18" t="n"/>
      <c r="G332" s="18" t="n"/>
      <c r="H332" s="18" t="n"/>
      <c r="I332" s="18" t="n"/>
      <c r="J332" s="37" t="n"/>
      <c r="K332" s="37" t="n"/>
      <c r="L332" s="43">
        <f>IF(C332="","",SUMIFS($J$7:J332,$C$7:C332,C332)-SUMIFS($K$7:K332,$C$7:C332,C332))</f>
        <v/>
      </c>
      <c r="N332">
        <f>IF(AND(C332&lt;&gt;"",C332='Tenant Statement'!$C$6),COUNTIF($C$7:C332,'Tenant Statement'!$C$6),"")</f>
        <v/>
      </c>
    </row>
    <row r="333">
      <c r="B333" s="41" t="n"/>
      <c r="C333" s="18" t="n"/>
      <c r="D333" s="42">
        <f>IF(C333="","",IFERROR(INDEX(TenantProperty,MATCH(C333,Tenants,0)),""))</f>
        <v/>
      </c>
      <c r="E333" s="42">
        <f>IF(C333="","",IFERROR(INDEX(TenantUnit,MATCH(C333,Tenants,0)),""))</f>
        <v/>
      </c>
      <c r="F333" s="18" t="n"/>
      <c r="G333" s="18" t="n"/>
      <c r="H333" s="18" t="n"/>
      <c r="I333" s="18" t="n"/>
      <c r="J333" s="37" t="n"/>
      <c r="K333" s="37" t="n"/>
      <c r="L333" s="43">
        <f>IF(C333="","",SUMIFS($J$7:J333,$C$7:C333,C333)-SUMIFS($K$7:K333,$C$7:C333,C333))</f>
        <v/>
      </c>
      <c r="N333">
        <f>IF(AND(C333&lt;&gt;"",C333='Tenant Statement'!$C$6),COUNTIF($C$7:C333,'Tenant Statement'!$C$6),"")</f>
        <v/>
      </c>
    </row>
    <row r="334">
      <c r="B334" s="41" t="n"/>
      <c r="C334" s="18" t="n"/>
      <c r="D334" s="42">
        <f>IF(C334="","",IFERROR(INDEX(TenantProperty,MATCH(C334,Tenants,0)),""))</f>
        <v/>
      </c>
      <c r="E334" s="42">
        <f>IF(C334="","",IFERROR(INDEX(TenantUnit,MATCH(C334,Tenants,0)),""))</f>
        <v/>
      </c>
      <c r="F334" s="18" t="n"/>
      <c r="G334" s="18" t="n"/>
      <c r="H334" s="18" t="n"/>
      <c r="I334" s="18" t="n"/>
      <c r="J334" s="37" t="n"/>
      <c r="K334" s="37" t="n"/>
      <c r="L334" s="43">
        <f>IF(C334="","",SUMIFS($J$7:J334,$C$7:C334,C334)-SUMIFS($K$7:K334,$C$7:C334,C334))</f>
        <v/>
      </c>
      <c r="N334">
        <f>IF(AND(C334&lt;&gt;"",C334='Tenant Statement'!$C$6),COUNTIF($C$7:C334,'Tenant Statement'!$C$6),"")</f>
        <v/>
      </c>
    </row>
    <row r="335">
      <c r="B335" s="41" t="n"/>
      <c r="C335" s="18" t="n"/>
      <c r="D335" s="42">
        <f>IF(C335="","",IFERROR(INDEX(TenantProperty,MATCH(C335,Tenants,0)),""))</f>
        <v/>
      </c>
      <c r="E335" s="42">
        <f>IF(C335="","",IFERROR(INDEX(TenantUnit,MATCH(C335,Tenants,0)),""))</f>
        <v/>
      </c>
      <c r="F335" s="18" t="n"/>
      <c r="G335" s="18" t="n"/>
      <c r="H335" s="18" t="n"/>
      <c r="I335" s="18" t="n"/>
      <c r="J335" s="37" t="n"/>
      <c r="K335" s="37" t="n"/>
      <c r="L335" s="43">
        <f>IF(C335="","",SUMIFS($J$7:J335,$C$7:C335,C335)-SUMIFS($K$7:K335,$C$7:C335,C335))</f>
        <v/>
      </c>
      <c r="N335">
        <f>IF(AND(C335&lt;&gt;"",C335='Tenant Statement'!$C$6),COUNTIF($C$7:C335,'Tenant Statement'!$C$6),"")</f>
        <v/>
      </c>
    </row>
    <row r="336">
      <c r="B336" s="41" t="n"/>
      <c r="C336" s="18" t="n"/>
      <c r="D336" s="42">
        <f>IF(C336="","",IFERROR(INDEX(TenantProperty,MATCH(C336,Tenants,0)),""))</f>
        <v/>
      </c>
      <c r="E336" s="42">
        <f>IF(C336="","",IFERROR(INDEX(TenantUnit,MATCH(C336,Tenants,0)),""))</f>
        <v/>
      </c>
      <c r="F336" s="18" t="n"/>
      <c r="G336" s="18" t="n"/>
      <c r="H336" s="18" t="n"/>
      <c r="I336" s="18" t="n"/>
      <c r="J336" s="37" t="n"/>
      <c r="K336" s="37" t="n"/>
      <c r="L336" s="43">
        <f>IF(C336="","",SUMIFS($J$7:J336,$C$7:C336,C336)-SUMIFS($K$7:K336,$C$7:C336,C336))</f>
        <v/>
      </c>
      <c r="N336">
        <f>IF(AND(C336&lt;&gt;"",C336='Tenant Statement'!$C$6),COUNTIF($C$7:C336,'Tenant Statement'!$C$6),"")</f>
        <v/>
      </c>
    </row>
    <row r="337">
      <c r="B337" s="41" t="n"/>
      <c r="C337" s="18" t="n"/>
      <c r="D337" s="42">
        <f>IF(C337="","",IFERROR(INDEX(TenantProperty,MATCH(C337,Tenants,0)),""))</f>
        <v/>
      </c>
      <c r="E337" s="42">
        <f>IF(C337="","",IFERROR(INDEX(TenantUnit,MATCH(C337,Tenants,0)),""))</f>
        <v/>
      </c>
      <c r="F337" s="18" t="n"/>
      <c r="G337" s="18" t="n"/>
      <c r="H337" s="18" t="n"/>
      <c r="I337" s="18" t="n"/>
      <c r="J337" s="37" t="n"/>
      <c r="K337" s="37" t="n"/>
      <c r="L337" s="43">
        <f>IF(C337="","",SUMIFS($J$7:J337,$C$7:C337,C337)-SUMIFS($K$7:K337,$C$7:C337,C337))</f>
        <v/>
      </c>
      <c r="N337">
        <f>IF(AND(C337&lt;&gt;"",C337='Tenant Statement'!$C$6),COUNTIF($C$7:C337,'Tenant Statement'!$C$6),"")</f>
        <v/>
      </c>
    </row>
    <row r="338">
      <c r="B338" s="41" t="n"/>
      <c r="C338" s="18" t="n"/>
      <c r="D338" s="42">
        <f>IF(C338="","",IFERROR(INDEX(TenantProperty,MATCH(C338,Tenants,0)),""))</f>
        <v/>
      </c>
      <c r="E338" s="42">
        <f>IF(C338="","",IFERROR(INDEX(TenantUnit,MATCH(C338,Tenants,0)),""))</f>
        <v/>
      </c>
      <c r="F338" s="18" t="n"/>
      <c r="G338" s="18" t="n"/>
      <c r="H338" s="18" t="n"/>
      <c r="I338" s="18" t="n"/>
      <c r="J338" s="37" t="n"/>
      <c r="K338" s="37" t="n"/>
      <c r="L338" s="43">
        <f>IF(C338="","",SUMIFS($J$7:J338,$C$7:C338,C338)-SUMIFS($K$7:K338,$C$7:C338,C338))</f>
        <v/>
      </c>
      <c r="N338">
        <f>IF(AND(C338&lt;&gt;"",C338='Tenant Statement'!$C$6),COUNTIF($C$7:C338,'Tenant Statement'!$C$6),"")</f>
        <v/>
      </c>
    </row>
    <row r="339">
      <c r="B339" s="41" t="n"/>
      <c r="C339" s="18" t="n"/>
      <c r="D339" s="42">
        <f>IF(C339="","",IFERROR(INDEX(TenantProperty,MATCH(C339,Tenants,0)),""))</f>
        <v/>
      </c>
      <c r="E339" s="42">
        <f>IF(C339="","",IFERROR(INDEX(TenantUnit,MATCH(C339,Tenants,0)),""))</f>
        <v/>
      </c>
      <c r="F339" s="18" t="n"/>
      <c r="G339" s="18" t="n"/>
      <c r="H339" s="18" t="n"/>
      <c r="I339" s="18" t="n"/>
      <c r="J339" s="37" t="n"/>
      <c r="K339" s="37" t="n"/>
      <c r="L339" s="43">
        <f>IF(C339="","",SUMIFS($J$7:J339,$C$7:C339,C339)-SUMIFS($K$7:K339,$C$7:C339,C339))</f>
        <v/>
      </c>
      <c r="N339">
        <f>IF(AND(C339&lt;&gt;"",C339='Tenant Statement'!$C$6),COUNTIF($C$7:C339,'Tenant Statement'!$C$6),"")</f>
        <v/>
      </c>
    </row>
    <row r="340">
      <c r="B340" s="41" t="n"/>
      <c r="C340" s="18" t="n"/>
      <c r="D340" s="42">
        <f>IF(C340="","",IFERROR(INDEX(TenantProperty,MATCH(C340,Tenants,0)),""))</f>
        <v/>
      </c>
      <c r="E340" s="42">
        <f>IF(C340="","",IFERROR(INDEX(TenantUnit,MATCH(C340,Tenants,0)),""))</f>
        <v/>
      </c>
      <c r="F340" s="18" t="n"/>
      <c r="G340" s="18" t="n"/>
      <c r="H340" s="18" t="n"/>
      <c r="I340" s="18" t="n"/>
      <c r="J340" s="37" t="n"/>
      <c r="K340" s="37" t="n"/>
      <c r="L340" s="43">
        <f>IF(C340="","",SUMIFS($J$7:J340,$C$7:C340,C340)-SUMIFS($K$7:K340,$C$7:C340,C340))</f>
        <v/>
      </c>
      <c r="N340">
        <f>IF(AND(C340&lt;&gt;"",C340='Tenant Statement'!$C$6),COUNTIF($C$7:C340,'Tenant Statement'!$C$6),"")</f>
        <v/>
      </c>
    </row>
    <row r="341">
      <c r="B341" s="41" t="n"/>
      <c r="C341" s="18" t="n"/>
      <c r="D341" s="42">
        <f>IF(C341="","",IFERROR(INDEX(TenantProperty,MATCH(C341,Tenants,0)),""))</f>
        <v/>
      </c>
      <c r="E341" s="42">
        <f>IF(C341="","",IFERROR(INDEX(TenantUnit,MATCH(C341,Tenants,0)),""))</f>
        <v/>
      </c>
      <c r="F341" s="18" t="n"/>
      <c r="G341" s="18" t="n"/>
      <c r="H341" s="18" t="n"/>
      <c r="I341" s="18" t="n"/>
      <c r="J341" s="37" t="n"/>
      <c r="K341" s="37" t="n"/>
      <c r="L341" s="43">
        <f>IF(C341="","",SUMIFS($J$7:J341,$C$7:C341,C341)-SUMIFS($K$7:K341,$C$7:C341,C341))</f>
        <v/>
      </c>
      <c r="N341">
        <f>IF(AND(C341&lt;&gt;"",C341='Tenant Statement'!$C$6),COUNTIF($C$7:C341,'Tenant Statement'!$C$6),"")</f>
        <v/>
      </c>
    </row>
    <row r="342">
      <c r="B342" s="41" t="n"/>
      <c r="C342" s="18" t="n"/>
      <c r="D342" s="42">
        <f>IF(C342="","",IFERROR(INDEX(TenantProperty,MATCH(C342,Tenants,0)),""))</f>
        <v/>
      </c>
      <c r="E342" s="42">
        <f>IF(C342="","",IFERROR(INDEX(TenantUnit,MATCH(C342,Tenants,0)),""))</f>
        <v/>
      </c>
      <c r="F342" s="18" t="n"/>
      <c r="G342" s="18" t="n"/>
      <c r="H342" s="18" t="n"/>
      <c r="I342" s="18" t="n"/>
      <c r="J342" s="37" t="n"/>
      <c r="K342" s="37" t="n"/>
      <c r="L342" s="43">
        <f>IF(C342="","",SUMIFS($J$7:J342,$C$7:C342,C342)-SUMIFS($K$7:K342,$C$7:C342,C342))</f>
        <v/>
      </c>
      <c r="N342">
        <f>IF(AND(C342&lt;&gt;"",C342='Tenant Statement'!$C$6),COUNTIF($C$7:C342,'Tenant Statement'!$C$6),"")</f>
        <v/>
      </c>
    </row>
    <row r="343">
      <c r="B343" s="41" t="n"/>
      <c r="C343" s="18" t="n"/>
      <c r="D343" s="42">
        <f>IF(C343="","",IFERROR(INDEX(TenantProperty,MATCH(C343,Tenants,0)),""))</f>
        <v/>
      </c>
      <c r="E343" s="42">
        <f>IF(C343="","",IFERROR(INDEX(TenantUnit,MATCH(C343,Tenants,0)),""))</f>
        <v/>
      </c>
      <c r="F343" s="18" t="n"/>
      <c r="G343" s="18" t="n"/>
      <c r="H343" s="18" t="n"/>
      <c r="I343" s="18" t="n"/>
      <c r="J343" s="37" t="n"/>
      <c r="K343" s="37" t="n"/>
      <c r="L343" s="43">
        <f>IF(C343="","",SUMIFS($J$7:J343,$C$7:C343,C343)-SUMIFS($K$7:K343,$C$7:C343,C343))</f>
        <v/>
      </c>
      <c r="N343">
        <f>IF(AND(C343&lt;&gt;"",C343='Tenant Statement'!$C$6),COUNTIF($C$7:C343,'Tenant Statement'!$C$6),"")</f>
        <v/>
      </c>
    </row>
    <row r="344">
      <c r="B344" s="41" t="n"/>
      <c r="C344" s="18" t="n"/>
      <c r="D344" s="42">
        <f>IF(C344="","",IFERROR(INDEX(TenantProperty,MATCH(C344,Tenants,0)),""))</f>
        <v/>
      </c>
      <c r="E344" s="42">
        <f>IF(C344="","",IFERROR(INDEX(TenantUnit,MATCH(C344,Tenants,0)),""))</f>
        <v/>
      </c>
      <c r="F344" s="18" t="n"/>
      <c r="G344" s="18" t="n"/>
      <c r="H344" s="18" t="n"/>
      <c r="I344" s="18" t="n"/>
      <c r="J344" s="37" t="n"/>
      <c r="K344" s="37" t="n"/>
      <c r="L344" s="43">
        <f>IF(C344="","",SUMIFS($J$7:J344,$C$7:C344,C344)-SUMIFS($K$7:K344,$C$7:C344,C344))</f>
        <v/>
      </c>
      <c r="N344">
        <f>IF(AND(C344&lt;&gt;"",C344='Tenant Statement'!$C$6),COUNTIF($C$7:C344,'Tenant Statement'!$C$6),"")</f>
        <v/>
      </c>
    </row>
    <row r="345">
      <c r="B345" s="41" t="n"/>
      <c r="C345" s="18" t="n"/>
      <c r="D345" s="42">
        <f>IF(C345="","",IFERROR(INDEX(TenantProperty,MATCH(C345,Tenants,0)),""))</f>
        <v/>
      </c>
      <c r="E345" s="42">
        <f>IF(C345="","",IFERROR(INDEX(TenantUnit,MATCH(C345,Tenants,0)),""))</f>
        <v/>
      </c>
      <c r="F345" s="18" t="n"/>
      <c r="G345" s="18" t="n"/>
      <c r="H345" s="18" t="n"/>
      <c r="I345" s="18" t="n"/>
      <c r="J345" s="37" t="n"/>
      <c r="K345" s="37" t="n"/>
      <c r="L345" s="43">
        <f>IF(C345="","",SUMIFS($J$7:J345,$C$7:C345,C345)-SUMIFS($K$7:K345,$C$7:C345,C345))</f>
        <v/>
      </c>
      <c r="N345">
        <f>IF(AND(C345&lt;&gt;"",C345='Tenant Statement'!$C$6),COUNTIF($C$7:C345,'Tenant Statement'!$C$6),"")</f>
        <v/>
      </c>
    </row>
    <row r="346">
      <c r="B346" s="41" t="n"/>
      <c r="C346" s="18" t="n"/>
      <c r="D346" s="42">
        <f>IF(C346="","",IFERROR(INDEX(TenantProperty,MATCH(C346,Tenants,0)),""))</f>
        <v/>
      </c>
      <c r="E346" s="42">
        <f>IF(C346="","",IFERROR(INDEX(TenantUnit,MATCH(C346,Tenants,0)),""))</f>
        <v/>
      </c>
      <c r="F346" s="18" t="n"/>
      <c r="G346" s="18" t="n"/>
      <c r="H346" s="18" t="n"/>
      <c r="I346" s="18" t="n"/>
      <c r="J346" s="37" t="n"/>
      <c r="K346" s="37" t="n"/>
      <c r="L346" s="43">
        <f>IF(C346="","",SUMIFS($J$7:J346,$C$7:C346,C346)-SUMIFS($K$7:K346,$C$7:C346,C346))</f>
        <v/>
      </c>
      <c r="N346">
        <f>IF(AND(C346&lt;&gt;"",C346='Tenant Statement'!$C$6),COUNTIF($C$7:C346,'Tenant Statement'!$C$6),"")</f>
        <v/>
      </c>
    </row>
    <row r="347">
      <c r="B347" s="41" t="n"/>
      <c r="C347" s="18" t="n"/>
      <c r="D347" s="42">
        <f>IF(C347="","",IFERROR(INDEX(TenantProperty,MATCH(C347,Tenants,0)),""))</f>
        <v/>
      </c>
      <c r="E347" s="42">
        <f>IF(C347="","",IFERROR(INDEX(TenantUnit,MATCH(C347,Tenants,0)),""))</f>
        <v/>
      </c>
      <c r="F347" s="18" t="n"/>
      <c r="G347" s="18" t="n"/>
      <c r="H347" s="18" t="n"/>
      <c r="I347" s="18" t="n"/>
      <c r="J347" s="37" t="n"/>
      <c r="K347" s="37" t="n"/>
      <c r="L347" s="43">
        <f>IF(C347="","",SUMIFS($J$7:J347,$C$7:C347,C347)-SUMIFS($K$7:K347,$C$7:C347,C347))</f>
        <v/>
      </c>
      <c r="N347">
        <f>IF(AND(C347&lt;&gt;"",C347='Tenant Statement'!$C$6),COUNTIF($C$7:C347,'Tenant Statement'!$C$6),"")</f>
        <v/>
      </c>
    </row>
    <row r="348">
      <c r="B348" s="41" t="n"/>
      <c r="C348" s="18" t="n"/>
      <c r="D348" s="42">
        <f>IF(C348="","",IFERROR(INDEX(TenantProperty,MATCH(C348,Tenants,0)),""))</f>
        <v/>
      </c>
      <c r="E348" s="42">
        <f>IF(C348="","",IFERROR(INDEX(TenantUnit,MATCH(C348,Tenants,0)),""))</f>
        <v/>
      </c>
      <c r="F348" s="18" t="n"/>
      <c r="G348" s="18" t="n"/>
      <c r="H348" s="18" t="n"/>
      <c r="I348" s="18" t="n"/>
      <c r="J348" s="37" t="n"/>
      <c r="K348" s="37" t="n"/>
      <c r="L348" s="43">
        <f>IF(C348="","",SUMIFS($J$7:J348,$C$7:C348,C348)-SUMIFS($K$7:K348,$C$7:C348,C348))</f>
        <v/>
      </c>
      <c r="N348">
        <f>IF(AND(C348&lt;&gt;"",C348='Tenant Statement'!$C$6),COUNTIF($C$7:C348,'Tenant Statement'!$C$6),"")</f>
        <v/>
      </c>
    </row>
    <row r="349">
      <c r="B349" s="41" t="n"/>
      <c r="C349" s="18" t="n"/>
      <c r="D349" s="42">
        <f>IF(C349="","",IFERROR(INDEX(TenantProperty,MATCH(C349,Tenants,0)),""))</f>
        <v/>
      </c>
      <c r="E349" s="42">
        <f>IF(C349="","",IFERROR(INDEX(TenantUnit,MATCH(C349,Tenants,0)),""))</f>
        <v/>
      </c>
      <c r="F349" s="18" t="n"/>
      <c r="G349" s="18" t="n"/>
      <c r="H349" s="18" t="n"/>
      <c r="I349" s="18" t="n"/>
      <c r="J349" s="37" t="n"/>
      <c r="K349" s="37" t="n"/>
      <c r="L349" s="43">
        <f>IF(C349="","",SUMIFS($J$7:J349,$C$7:C349,C349)-SUMIFS($K$7:K349,$C$7:C349,C349))</f>
        <v/>
      </c>
      <c r="N349">
        <f>IF(AND(C349&lt;&gt;"",C349='Tenant Statement'!$C$6),COUNTIF($C$7:C349,'Tenant Statement'!$C$6),"")</f>
        <v/>
      </c>
    </row>
    <row r="350">
      <c r="B350" s="41" t="n"/>
      <c r="C350" s="18" t="n"/>
      <c r="D350" s="42">
        <f>IF(C350="","",IFERROR(INDEX(TenantProperty,MATCH(C350,Tenants,0)),""))</f>
        <v/>
      </c>
      <c r="E350" s="42">
        <f>IF(C350="","",IFERROR(INDEX(TenantUnit,MATCH(C350,Tenants,0)),""))</f>
        <v/>
      </c>
      <c r="F350" s="18" t="n"/>
      <c r="G350" s="18" t="n"/>
      <c r="H350" s="18" t="n"/>
      <c r="I350" s="18" t="n"/>
      <c r="J350" s="37" t="n"/>
      <c r="K350" s="37" t="n"/>
      <c r="L350" s="43">
        <f>IF(C350="","",SUMIFS($J$7:J350,$C$7:C350,C350)-SUMIFS($K$7:K350,$C$7:C350,C350))</f>
        <v/>
      </c>
      <c r="N350">
        <f>IF(AND(C350&lt;&gt;"",C350='Tenant Statement'!$C$6),COUNTIF($C$7:C350,'Tenant Statement'!$C$6),"")</f>
        <v/>
      </c>
    </row>
    <row r="351">
      <c r="B351" s="41" t="n"/>
      <c r="C351" s="18" t="n"/>
      <c r="D351" s="42">
        <f>IF(C351="","",IFERROR(INDEX(TenantProperty,MATCH(C351,Tenants,0)),""))</f>
        <v/>
      </c>
      <c r="E351" s="42">
        <f>IF(C351="","",IFERROR(INDEX(TenantUnit,MATCH(C351,Tenants,0)),""))</f>
        <v/>
      </c>
      <c r="F351" s="18" t="n"/>
      <c r="G351" s="18" t="n"/>
      <c r="H351" s="18" t="n"/>
      <c r="I351" s="18" t="n"/>
      <c r="J351" s="37" t="n"/>
      <c r="K351" s="37" t="n"/>
      <c r="L351" s="43">
        <f>IF(C351="","",SUMIFS($J$7:J351,$C$7:C351,C351)-SUMIFS($K$7:K351,$C$7:C351,C351))</f>
        <v/>
      </c>
      <c r="N351">
        <f>IF(AND(C351&lt;&gt;"",C351='Tenant Statement'!$C$6),COUNTIF($C$7:C351,'Tenant Statement'!$C$6),"")</f>
        <v/>
      </c>
    </row>
    <row r="352">
      <c r="B352" s="41" t="n"/>
      <c r="C352" s="18" t="n"/>
      <c r="D352" s="42">
        <f>IF(C352="","",IFERROR(INDEX(TenantProperty,MATCH(C352,Tenants,0)),""))</f>
        <v/>
      </c>
      <c r="E352" s="42">
        <f>IF(C352="","",IFERROR(INDEX(TenantUnit,MATCH(C352,Tenants,0)),""))</f>
        <v/>
      </c>
      <c r="F352" s="18" t="n"/>
      <c r="G352" s="18" t="n"/>
      <c r="H352" s="18" t="n"/>
      <c r="I352" s="18" t="n"/>
      <c r="J352" s="37" t="n"/>
      <c r="K352" s="37" t="n"/>
      <c r="L352" s="43">
        <f>IF(C352="","",SUMIFS($J$7:J352,$C$7:C352,C352)-SUMIFS($K$7:K352,$C$7:C352,C352))</f>
        <v/>
      </c>
      <c r="N352">
        <f>IF(AND(C352&lt;&gt;"",C352='Tenant Statement'!$C$6),COUNTIF($C$7:C352,'Tenant Statement'!$C$6),"")</f>
        <v/>
      </c>
    </row>
    <row r="353">
      <c r="B353" s="41" t="n"/>
      <c r="C353" s="18" t="n"/>
      <c r="D353" s="42">
        <f>IF(C353="","",IFERROR(INDEX(TenantProperty,MATCH(C353,Tenants,0)),""))</f>
        <v/>
      </c>
      <c r="E353" s="42">
        <f>IF(C353="","",IFERROR(INDEX(TenantUnit,MATCH(C353,Tenants,0)),""))</f>
        <v/>
      </c>
      <c r="F353" s="18" t="n"/>
      <c r="G353" s="18" t="n"/>
      <c r="H353" s="18" t="n"/>
      <c r="I353" s="18" t="n"/>
      <c r="J353" s="37" t="n"/>
      <c r="K353" s="37" t="n"/>
      <c r="L353" s="43">
        <f>IF(C353="","",SUMIFS($J$7:J353,$C$7:C353,C353)-SUMIFS($K$7:K353,$C$7:C353,C353))</f>
        <v/>
      </c>
      <c r="N353">
        <f>IF(AND(C353&lt;&gt;"",C353='Tenant Statement'!$C$6),COUNTIF($C$7:C353,'Tenant Statement'!$C$6),"")</f>
        <v/>
      </c>
    </row>
    <row r="354">
      <c r="B354" s="41" t="n"/>
      <c r="C354" s="18" t="n"/>
      <c r="D354" s="42">
        <f>IF(C354="","",IFERROR(INDEX(TenantProperty,MATCH(C354,Tenants,0)),""))</f>
        <v/>
      </c>
      <c r="E354" s="42">
        <f>IF(C354="","",IFERROR(INDEX(TenantUnit,MATCH(C354,Tenants,0)),""))</f>
        <v/>
      </c>
      <c r="F354" s="18" t="n"/>
      <c r="G354" s="18" t="n"/>
      <c r="H354" s="18" t="n"/>
      <c r="I354" s="18" t="n"/>
      <c r="J354" s="37" t="n"/>
      <c r="K354" s="37" t="n"/>
      <c r="L354" s="43">
        <f>IF(C354="","",SUMIFS($J$7:J354,$C$7:C354,C354)-SUMIFS($K$7:K354,$C$7:C354,C354))</f>
        <v/>
      </c>
      <c r="N354">
        <f>IF(AND(C354&lt;&gt;"",C354='Tenant Statement'!$C$6),COUNTIF($C$7:C354,'Tenant Statement'!$C$6),"")</f>
        <v/>
      </c>
    </row>
    <row r="355">
      <c r="B355" s="41" t="n"/>
      <c r="C355" s="18" t="n"/>
      <c r="D355" s="42">
        <f>IF(C355="","",IFERROR(INDEX(TenantProperty,MATCH(C355,Tenants,0)),""))</f>
        <v/>
      </c>
      <c r="E355" s="42">
        <f>IF(C355="","",IFERROR(INDEX(TenantUnit,MATCH(C355,Tenants,0)),""))</f>
        <v/>
      </c>
      <c r="F355" s="18" t="n"/>
      <c r="G355" s="18" t="n"/>
      <c r="H355" s="18" t="n"/>
      <c r="I355" s="18" t="n"/>
      <c r="J355" s="37" t="n"/>
      <c r="K355" s="37" t="n"/>
      <c r="L355" s="43">
        <f>IF(C355="","",SUMIFS($J$7:J355,$C$7:C355,C355)-SUMIFS($K$7:K355,$C$7:C355,C355))</f>
        <v/>
      </c>
      <c r="N355">
        <f>IF(AND(C355&lt;&gt;"",C355='Tenant Statement'!$C$6),COUNTIF($C$7:C355,'Tenant Statement'!$C$6),"")</f>
        <v/>
      </c>
    </row>
    <row r="356">
      <c r="B356" s="41" t="n"/>
      <c r="C356" s="18" t="n"/>
      <c r="D356" s="42">
        <f>IF(C356="","",IFERROR(INDEX(TenantProperty,MATCH(C356,Tenants,0)),""))</f>
        <v/>
      </c>
      <c r="E356" s="42">
        <f>IF(C356="","",IFERROR(INDEX(TenantUnit,MATCH(C356,Tenants,0)),""))</f>
        <v/>
      </c>
      <c r="F356" s="18" t="n"/>
      <c r="G356" s="18" t="n"/>
      <c r="H356" s="18" t="n"/>
      <c r="I356" s="18" t="n"/>
      <c r="J356" s="37" t="n"/>
      <c r="K356" s="37" t="n"/>
      <c r="L356" s="43">
        <f>IF(C356="","",SUMIFS($J$7:J356,$C$7:C356,C356)-SUMIFS($K$7:K356,$C$7:C356,C356))</f>
        <v/>
      </c>
      <c r="N356">
        <f>IF(AND(C356&lt;&gt;"",C356='Tenant Statement'!$C$6),COUNTIF($C$7:C356,'Tenant Statement'!$C$6),"")</f>
        <v/>
      </c>
    </row>
    <row r="357">
      <c r="B357" s="41" t="n"/>
      <c r="C357" s="18" t="n"/>
      <c r="D357" s="42">
        <f>IF(C357="","",IFERROR(INDEX(TenantProperty,MATCH(C357,Tenants,0)),""))</f>
        <v/>
      </c>
      <c r="E357" s="42">
        <f>IF(C357="","",IFERROR(INDEX(TenantUnit,MATCH(C357,Tenants,0)),""))</f>
        <v/>
      </c>
      <c r="F357" s="18" t="n"/>
      <c r="G357" s="18" t="n"/>
      <c r="H357" s="18" t="n"/>
      <c r="I357" s="18" t="n"/>
      <c r="J357" s="37" t="n"/>
      <c r="K357" s="37" t="n"/>
      <c r="L357" s="43">
        <f>IF(C357="","",SUMIFS($J$7:J357,$C$7:C357,C357)-SUMIFS($K$7:K357,$C$7:C357,C357))</f>
        <v/>
      </c>
      <c r="N357">
        <f>IF(AND(C357&lt;&gt;"",C357='Tenant Statement'!$C$6),COUNTIF($C$7:C357,'Tenant Statement'!$C$6),"")</f>
        <v/>
      </c>
    </row>
    <row r="358">
      <c r="B358" s="41" t="n"/>
      <c r="C358" s="18" t="n"/>
      <c r="D358" s="42">
        <f>IF(C358="","",IFERROR(INDEX(TenantProperty,MATCH(C358,Tenants,0)),""))</f>
        <v/>
      </c>
      <c r="E358" s="42">
        <f>IF(C358="","",IFERROR(INDEX(TenantUnit,MATCH(C358,Tenants,0)),""))</f>
        <v/>
      </c>
      <c r="F358" s="18" t="n"/>
      <c r="G358" s="18" t="n"/>
      <c r="H358" s="18" t="n"/>
      <c r="I358" s="18" t="n"/>
      <c r="J358" s="37" t="n"/>
      <c r="K358" s="37" t="n"/>
      <c r="L358" s="43">
        <f>IF(C358="","",SUMIFS($J$7:J358,$C$7:C358,C358)-SUMIFS($K$7:K358,$C$7:C358,C358))</f>
        <v/>
      </c>
      <c r="N358">
        <f>IF(AND(C358&lt;&gt;"",C358='Tenant Statement'!$C$6),COUNTIF($C$7:C358,'Tenant Statement'!$C$6),"")</f>
        <v/>
      </c>
    </row>
    <row r="359">
      <c r="B359" s="41" t="n"/>
      <c r="C359" s="18" t="n"/>
      <c r="D359" s="42">
        <f>IF(C359="","",IFERROR(INDEX(TenantProperty,MATCH(C359,Tenants,0)),""))</f>
        <v/>
      </c>
      <c r="E359" s="42">
        <f>IF(C359="","",IFERROR(INDEX(TenantUnit,MATCH(C359,Tenants,0)),""))</f>
        <v/>
      </c>
      <c r="F359" s="18" t="n"/>
      <c r="G359" s="18" t="n"/>
      <c r="H359" s="18" t="n"/>
      <c r="I359" s="18" t="n"/>
      <c r="J359" s="37" t="n"/>
      <c r="K359" s="37" t="n"/>
      <c r="L359" s="43">
        <f>IF(C359="","",SUMIFS($J$7:J359,$C$7:C359,C359)-SUMIFS($K$7:K359,$C$7:C359,C359))</f>
        <v/>
      </c>
      <c r="N359">
        <f>IF(AND(C359&lt;&gt;"",C359='Tenant Statement'!$C$6),COUNTIF($C$7:C359,'Tenant Statement'!$C$6),"")</f>
        <v/>
      </c>
    </row>
    <row r="360">
      <c r="B360" s="41" t="n"/>
      <c r="C360" s="18" t="n"/>
      <c r="D360" s="42">
        <f>IF(C360="","",IFERROR(INDEX(TenantProperty,MATCH(C360,Tenants,0)),""))</f>
        <v/>
      </c>
      <c r="E360" s="42">
        <f>IF(C360="","",IFERROR(INDEX(TenantUnit,MATCH(C360,Tenants,0)),""))</f>
        <v/>
      </c>
      <c r="F360" s="18" t="n"/>
      <c r="G360" s="18" t="n"/>
      <c r="H360" s="18" t="n"/>
      <c r="I360" s="18" t="n"/>
      <c r="J360" s="37" t="n"/>
      <c r="K360" s="37" t="n"/>
      <c r="L360" s="43">
        <f>IF(C360="","",SUMIFS($J$7:J360,$C$7:C360,C360)-SUMIFS($K$7:K360,$C$7:C360,C360))</f>
        <v/>
      </c>
      <c r="N360">
        <f>IF(AND(C360&lt;&gt;"",C360='Tenant Statement'!$C$6),COUNTIF($C$7:C360,'Tenant Statement'!$C$6),"")</f>
        <v/>
      </c>
    </row>
    <row r="361">
      <c r="B361" s="41" t="n"/>
      <c r="C361" s="18" t="n"/>
      <c r="D361" s="42">
        <f>IF(C361="","",IFERROR(INDEX(TenantProperty,MATCH(C361,Tenants,0)),""))</f>
        <v/>
      </c>
      <c r="E361" s="42">
        <f>IF(C361="","",IFERROR(INDEX(TenantUnit,MATCH(C361,Tenants,0)),""))</f>
        <v/>
      </c>
      <c r="F361" s="18" t="n"/>
      <c r="G361" s="18" t="n"/>
      <c r="H361" s="18" t="n"/>
      <c r="I361" s="18" t="n"/>
      <c r="J361" s="37" t="n"/>
      <c r="K361" s="37" t="n"/>
      <c r="L361" s="43">
        <f>IF(C361="","",SUMIFS($J$7:J361,$C$7:C361,C361)-SUMIFS($K$7:K361,$C$7:C361,C361))</f>
        <v/>
      </c>
      <c r="N361">
        <f>IF(AND(C361&lt;&gt;"",C361='Tenant Statement'!$C$6),COUNTIF($C$7:C361,'Tenant Statement'!$C$6),"")</f>
        <v/>
      </c>
    </row>
    <row r="362">
      <c r="B362" s="41" t="n"/>
      <c r="C362" s="18" t="n"/>
      <c r="D362" s="42">
        <f>IF(C362="","",IFERROR(INDEX(TenantProperty,MATCH(C362,Tenants,0)),""))</f>
        <v/>
      </c>
      <c r="E362" s="42">
        <f>IF(C362="","",IFERROR(INDEX(TenantUnit,MATCH(C362,Tenants,0)),""))</f>
        <v/>
      </c>
      <c r="F362" s="18" t="n"/>
      <c r="G362" s="18" t="n"/>
      <c r="H362" s="18" t="n"/>
      <c r="I362" s="18" t="n"/>
      <c r="J362" s="37" t="n"/>
      <c r="K362" s="37" t="n"/>
      <c r="L362" s="43">
        <f>IF(C362="","",SUMIFS($J$7:J362,$C$7:C362,C362)-SUMIFS($K$7:K362,$C$7:C362,C362))</f>
        <v/>
      </c>
      <c r="N362">
        <f>IF(AND(C362&lt;&gt;"",C362='Tenant Statement'!$C$6),COUNTIF($C$7:C362,'Tenant Statement'!$C$6),"")</f>
        <v/>
      </c>
    </row>
    <row r="363">
      <c r="B363" s="41" t="n"/>
      <c r="C363" s="18" t="n"/>
      <c r="D363" s="42">
        <f>IF(C363="","",IFERROR(INDEX(TenantProperty,MATCH(C363,Tenants,0)),""))</f>
        <v/>
      </c>
      <c r="E363" s="42">
        <f>IF(C363="","",IFERROR(INDEX(TenantUnit,MATCH(C363,Tenants,0)),""))</f>
        <v/>
      </c>
      <c r="F363" s="18" t="n"/>
      <c r="G363" s="18" t="n"/>
      <c r="H363" s="18" t="n"/>
      <c r="I363" s="18" t="n"/>
      <c r="J363" s="37" t="n"/>
      <c r="K363" s="37" t="n"/>
      <c r="L363" s="43">
        <f>IF(C363="","",SUMIFS($J$7:J363,$C$7:C363,C363)-SUMIFS($K$7:K363,$C$7:C363,C363))</f>
        <v/>
      </c>
      <c r="N363">
        <f>IF(AND(C363&lt;&gt;"",C363='Tenant Statement'!$C$6),COUNTIF($C$7:C363,'Tenant Statement'!$C$6),"")</f>
        <v/>
      </c>
    </row>
    <row r="364">
      <c r="B364" s="41" t="n"/>
      <c r="C364" s="18" t="n"/>
      <c r="D364" s="42">
        <f>IF(C364="","",IFERROR(INDEX(TenantProperty,MATCH(C364,Tenants,0)),""))</f>
        <v/>
      </c>
      <c r="E364" s="42">
        <f>IF(C364="","",IFERROR(INDEX(TenantUnit,MATCH(C364,Tenants,0)),""))</f>
        <v/>
      </c>
      <c r="F364" s="18" t="n"/>
      <c r="G364" s="18" t="n"/>
      <c r="H364" s="18" t="n"/>
      <c r="I364" s="18" t="n"/>
      <c r="J364" s="37" t="n"/>
      <c r="K364" s="37" t="n"/>
      <c r="L364" s="43">
        <f>IF(C364="","",SUMIFS($J$7:J364,$C$7:C364,C364)-SUMIFS($K$7:K364,$C$7:C364,C364))</f>
        <v/>
      </c>
      <c r="N364">
        <f>IF(AND(C364&lt;&gt;"",C364='Tenant Statement'!$C$6),COUNTIF($C$7:C364,'Tenant Statement'!$C$6),"")</f>
        <v/>
      </c>
    </row>
    <row r="365">
      <c r="B365" s="41" t="n"/>
      <c r="C365" s="18" t="n"/>
      <c r="D365" s="42">
        <f>IF(C365="","",IFERROR(INDEX(TenantProperty,MATCH(C365,Tenants,0)),""))</f>
        <v/>
      </c>
      <c r="E365" s="42">
        <f>IF(C365="","",IFERROR(INDEX(TenantUnit,MATCH(C365,Tenants,0)),""))</f>
        <v/>
      </c>
      <c r="F365" s="18" t="n"/>
      <c r="G365" s="18" t="n"/>
      <c r="H365" s="18" t="n"/>
      <c r="I365" s="18" t="n"/>
      <c r="J365" s="37" t="n"/>
      <c r="K365" s="37" t="n"/>
      <c r="L365" s="43">
        <f>IF(C365="","",SUMIFS($J$7:J365,$C$7:C365,C365)-SUMIFS($K$7:K365,$C$7:C365,C365))</f>
        <v/>
      </c>
      <c r="N365">
        <f>IF(AND(C365&lt;&gt;"",C365='Tenant Statement'!$C$6),COUNTIF($C$7:C365,'Tenant Statement'!$C$6),"")</f>
        <v/>
      </c>
    </row>
    <row r="366">
      <c r="B366" s="41" t="n"/>
      <c r="C366" s="18" t="n"/>
      <c r="D366" s="42">
        <f>IF(C366="","",IFERROR(INDEX(TenantProperty,MATCH(C366,Tenants,0)),""))</f>
        <v/>
      </c>
      <c r="E366" s="42">
        <f>IF(C366="","",IFERROR(INDEX(TenantUnit,MATCH(C366,Tenants,0)),""))</f>
        <v/>
      </c>
      <c r="F366" s="18" t="n"/>
      <c r="G366" s="18" t="n"/>
      <c r="H366" s="18" t="n"/>
      <c r="I366" s="18" t="n"/>
      <c r="J366" s="37" t="n"/>
      <c r="K366" s="37" t="n"/>
      <c r="L366" s="43">
        <f>IF(C366="","",SUMIFS($J$7:J366,$C$7:C366,C366)-SUMIFS($K$7:K366,$C$7:C366,C366))</f>
        <v/>
      </c>
      <c r="N366">
        <f>IF(AND(C366&lt;&gt;"",C366='Tenant Statement'!$C$6),COUNTIF($C$7:C366,'Tenant Statement'!$C$6),"")</f>
        <v/>
      </c>
    </row>
    <row r="367">
      <c r="B367" s="41" t="n"/>
      <c r="C367" s="18" t="n"/>
      <c r="D367" s="42">
        <f>IF(C367="","",IFERROR(INDEX(TenantProperty,MATCH(C367,Tenants,0)),""))</f>
        <v/>
      </c>
      <c r="E367" s="42">
        <f>IF(C367="","",IFERROR(INDEX(TenantUnit,MATCH(C367,Tenants,0)),""))</f>
        <v/>
      </c>
      <c r="F367" s="18" t="n"/>
      <c r="G367" s="18" t="n"/>
      <c r="H367" s="18" t="n"/>
      <c r="I367" s="18" t="n"/>
      <c r="J367" s="37" t="n"/>
      <c r="K367" s="37" t="n"/>
      <c r="L367" s="43">
        <f>IF(C367="","",SUMIFS($J$7:J367,$C$7:C367,C367)-SUMIFS($K$7:K367,$C$7:C367,C367))</f>
        <v/>
      </c>
      <c r="N367">
        <f>IF(AND(C367&lt;&gt;"",C367='Tenant Statement'!$C$6),COUNTIF($C$7:C367,'Tenant Statement'!$C$6),"")</f>
        <v/>
      </c>
    </row>
    <row r="368">
      <c r="B368" s="41" t="n"/>
      <c r="C368" s="18" t="n"/>
      <c r="D368" s="42">
        <f>IF(C368="","",IFERROR(INDEX(TenantProperty,MATCH(C368,Tenants,0)),""))</f>
        <v/>
      </c>
      <c r="E368" s="42">
        <f>IF(C368="","",IFERROR(INDEX(TenantUnit,MATCH(C368,Tenants,0)),""))</f>
        <v/>
      </c>
      <c r="F368" s="18" t="n"/>
      <c r="G368" s="18" t="n"/>
      <c r="H368" s="18" t="n"/>
      <c r="I368" s="18" t="n"/>
      <c r="J368" s="37" t="n"/>
      <c r="K368" s="37" t="n"/>
      <c r="L368" s="43">
        <f>IF(C368="","",SUMIFS($J$7:J368,$C$7:C368,C368)-SUMIFS($K$7:K368,$C$7:C368,C368))</f>
        <v/>
      </c>
      <c r="N368">
        <f>IF(AND(C368&lt;&gt;"",C368='Tenant Statement'!$C$6),COUNTIF($C$7:C368,'Tenant Statement'!$C$6),"")</f>
        <v/>
      </c>
    </row>
    <row r="369">
      <c r="B369" s="41" t="n"/>
      <c r="C369" s="18" t="n"/>
      <c r="D369" s="42">
        <f>IF(C369="","",IFERROR(INDEX(TenantProperty,MATCH(C369,Tenants,0)),""))</f>
        <v/>
      </c>
      <c r="E369" s="42">
        <f>IF(C369="","",IFERROR(INDEX(TenantUnit,MATCH(C369,Tenants,0)),""))</f>
        <v/>
      </c>
      <c r="F369" s="18" t="n"/>
      <c r="G369" s="18" t="n"/>
      <c r="H369" s="18" t="n"/>
      <c r="I369" s="18" t="n"/>
      <c r="J369" s="37" t="n"/>
      <c r="K369" s="37" t="n"/>
      <c r="L369" s="43">
        <f>IF(C369="","",SUMIFS($J$7:J369,$C$7:C369,C369)-SUMIFS($K$7:K369,$C$7:C369,C369))</f>
        <v/>
      </c>
      <c r="N369">
        <f>IF(AND(C369&lt;&gt;"",C369='Tenant Statement'!$C$6),COUNTIF($C$7:C369,'Tenant Statement'!$C$6),"")</f>
        <v/>
      </c>
    </row>
    <row r="370">
      <c r="B370" s="41" t="n"/>
      <c r="C370" s="18" t="n"/>
      <c r="D370" s="42">
        <f>IF(C370="","",IFERROR(INDEX(TenantProperty,MATCH(C370,Tenants,0)),""))</f>
        <v/>
      </c>
      <c r="E370" s="42">
        <f>IF(C370="","",IFERROR(INDEX(TenantUnit,MATCH(C370,Tenants,0)),""))</f>
        <v/>
      </c>
      <c r="F370" s="18" t="n"/>
      <c r="G370" s="18" t="n"/>
      <c r="H370" s="18" t="n"/>
      <c r="I370" s="18" t="n"/>
      <c r="J370" s="37" t="n"/>
      <c r="K370" s="37" t="n"/>
      <c r="L370" s="43">
        <f>IF(C370="","",SUMIFS($J$7:J370,$C$7:C370,C370)-SUMIFS($K$7:K370,$C$7:C370,C370))</f>
        <v/>
      </c>
      <c r="N370">
        <f>IF(AND(C370&lt;&gt;"",C370='Tenant Statement'!$C$6),COUNTIF($C$7:C370,'Tenant Statement'!$C$6),"")</f>
        <v/>
      </c>
    </row>
    <row r="371">
      <c r="B371" s="41" t="n"/>
      <c r="C371" s="18" t="n"/>
      <c r="D371" s="42">
        <f>IF(C371="","",IFERROR(INDEX(TenantProperty,MATCH(C371,Tenants,0)),""))</f>
        <v/>
      </c>
      <c r="E371" s="42">
        <f>IF(C371="","",IFERROR(INDEX(TenantUnit,MATCH(C371,Tenants,0)),""))</f>
        <v/>
      </c>
      <c r="F371" s="18" t="n"/>
      <c r="G371" s="18" t="n"/>
      <c r="H371" s="18" t="n"/>
      <c r="I371" s="18" t="n"/>
      <c r="J371" s="37" t="n"/>
      <c r="K371" s="37" t="n"/>
      <c r="L371" s="43">
        <f>IF(C371="","",SUMIFS($J$7:J371,$C$7:C371,C371)-SUMIFS($K$7:K371,$C$7:C371,C371))</f>
        <v/>
      </c>
      <c r="N371">
        <f>IF(AND(C371&lt;&gt;"",C371='Tenant Statement'!$C$6),COUNTIF($C$7:C371,'Tenant Statement'!$C$6),"")</f>
        <v/>
      </c>
    </row>
    <row r="372">
      <c r="B372" s="41" t="n"/>
      <c r="C372" s="18" t="n"/>
      <c r="D372" s="42">
        <f>IF(C372="","",IFERROR(INDEX(TenantProperty,MATCH(C372,Tenants,0)),""))</f>
        <v/>
      </c>
      <c r="E372" s="42">
        <f>IF(C372="","",IFERROR(INDEX(TenantUnit,MATCH(C372,Tenants,0)),""))</f>
        <v/>
      </c>
      <c r="F372" s="18" t="n"/>
      <c r="G372" s="18" t="n"/>
      <c r="H372" s="18" t="n"/>
      <c r="I372" s="18" t="n"/>
      <c r="J372" s="37" t="n"/>
      <c r="K372" s="37" t="n"/>
      <c r="L372" s="43">
        <f>IF(C372="","",SUMIFS($J$7:J372,$C$7:C372,C372)-SUMIFS($K$7:K372,$C$7:C372,C372))</f>
        <v/>
      </c>
      <c r="N372">
        <f>IF(AND(C372&lt;&gt;"",C372='Tenant Statement'!$C$6),COUNTIF($C$7:C372,'Tenant Statement'!$C$6),"")</f>
        <v/>
      </c>
    </row>
    <row r="373">
      <c r="B373" s="41" t="n"/>
      <c r="C373" s="18" t="n"/>
      <c r="D373" s="42">
        <f>IF(C373="","",IFERROR(INDEX(TenantProperty,MATCH(C373,Tenants,0)),""))</f>
        <v/>
      </c>
      <c r="E373" s="42">
        <f>IF(C373="","",IFERROR(INDEX(TenantUnit,MATCH(C373,Tenants,0)),""))</f>
        <v/>
      </c>
      <c r="F373" s="18" t="n"/>
      <c r="G373" s="18" t="n"/>
      <c r="H373" s="18" t="n"/>
      <c r="I373" s="18" t="n"/>
      <c r="J373" s="37" t="n"/>
      <c r="K373" s="37" t="n"/>
      <c r="L373" s="43">
        <f>IF(C373="","",SUMIFS($J$7:J373,$C$7:C373,C373)-SUMIFS($K$7:K373,$C$7:C373,C373))</f>
        <v/>
      </c>
      <c r="N373">
        <f>IF(AND(C373&lt;&gt;"",C373='Tenant Statement'!$C$6),COUNTIF($C$7:C373,'Tenant Statement'!$C$6),"")</f>
        <v/>
      </c>
    </row>
    <row r="374">
      <c r="B374" s="41" t="n"/>
      <c r="C374" s="18" t="n"/>
      <c r="D374" s="42">
        <f>IF(C374="","",IFERROR(INDEX(TenantProperty,MATCH(C374,Tenants,0)),""))</f>
        <v/>
      </c>
      <c r="E374" s="42">
        <f>IF(C374="","",IFERROR(INDEX(TenantUnit,MATCH(C374,Tenants,0)),""))</f>
        <v/>
      </c>
      <c r="F374" s="18" t="n"/>
      <c r="G374" s="18" t="n"/>
      <c r="H374" s="18" t="n"/>
      <c r="I374" s="18" t="n"/>
      <c r="J374" s="37" t="n"/>
      <c r="K374" s="37" t="n"/>
      <c r="L374" s="43">
        <f>IF(C374="","",SUMIFS($J$7:J374,$C$7:C374,C374)-SUMIFS($K$7:K374,$C$7:C374,C374))</f>
        <v/>
      </c>
      <c r="N374">
        <f>IF(AND(C374&lt;&gt;"",C374='Tenant Statement'!$C$6),COUNTIF($C$7:C374,'Tenant Statement'!$C$6),"")</f>
        <v/>
      </c>
    </row>
    <row r="375">
      <c r="B375" s="41" t="n"/>
      <c r="C375" s="18" t="n"/>
      <c r="D375" s="42">
        <f>IF(C375="","",IFERROR(INDEX(TenantProperty,MATCH(C375,Tenants,0)),""))</f>
        <v/>
      </c>
      <c r="E375" s="42">
        <f>IF(C375="","",IFERROR(INDEX(TenantUnit,MATCH(C375,Tenants,0)),""))</f>
        <v/>
      </c>
      <c r="F375" s="18" t="n"/>
      <c r="G375" s="18" t="n"/>
      <c r="H375" s="18" t="n"/>
      <c r="I375" s="18" t="n"/>
      <c r="J375" s="37" t="n"/>
      <c r="K375" s="37" t="n"/>
      <c r="L375" s="43">
        <f>IF(C375="","",SUMIFS($J$7:J375,$C$7:C375,C375)-SUMIFS($K$7:K375,$C$7:C375,C375))</f>
        <v/>
      </c>
      <c r="N375">
        <f>IF(AND(C375&lt;&gt;"",C375='Tenant Statement'!$C$6),COUNTIF($C$7:C375,'Tenant Statement'!$C$6),"")</f>
        <v/>
      </c>
    </row>
    <row r="376">
      <c r="B376" s="41" t="n"/>
      <c r="C376" s="18" t="n"/>
      <c r="D376" s="42">
        <f>IF(C376="","",IFERROR(INDEX(TenantProperty,MATCH(C376,Tenants,0)),""))</f>
        <v/>
      </c>
      <c r="E376" s="42">
        <f>IF(C376="","",IFERROR(INDEX(TenantUnit,MATCH(C376,Tenants,0)),""))</f>
        <v/>
      </c>
      <c r="F376" s="18" t="n"/>
      <c r="G376" s="18" t="n"/>
      <c r="H376" s="18" t="n"/>
      <c r="I376" s="18" t="n"/>
      <c r="J376" s="37" t="n"/>
      <c r="K376" s="37" t="n"/>
      <c r="L376" s="43">
        <f>IF(C376="","",SUMIFS($J$7:J376,$C$7:C376,C376)-SUMIFS($K$7:K376,$C$7:C376,C376))</f>
        <v/>
      </c>
      <c r="N376">
        <f>IF(AND(C376&lt;&gt;"",C376='Tenant Statement'!$C$6),COUNTIF($C$7:C376,'Tenant Statement'!$C$6),"")</f>
        <v/>
      </c>
    </row>
    <row r="377">
      <c r="B377" s="41" t="n"/>
      <c r="C377" s="18" t="n"/>
      <c r="D377" s="42">
        <f>IF(C377="","",IFERROR(INDEX(TenantProperty,MATCH(C377,Tenants,0)),""))</f>
        <v/>
      </c>
      <c r="E377" s="42">
        <f>IF(C377="","",IFERROR(INDEX(TenantUnit,MATCH(C377,Tenants,0)),""))</f>
        <v/>
      </c>
      <c r="F377" s="18" t="n"/>
      <c r="G377" s="18" t="n"/>
      <c r="H377" s="18" t="n"/>
      <c r="I377" s="18" t="n"/>
      <c r="J377" s="37" t="n"/>
      <c r="K377" s="37" t="n"/>
      <c r="L377" s="43">
        <f>IF(C377="","",SUMIFS($J$7:J377,$C$7:C377,C377)-SUMIFS($K$7:K377,$C$7:C377,C377))</f>
        <v/>
      </c>
      <c r="N377">
        <f>IF(AND(C377&lt;&gt;"",C377='Tenant Statement'!$C$6),COUNTIF($C$7:C377,'Tenant Statement'!$C$6),"")</f>
        <v/>
      </c>
    </row>
    <row r="378">
      <c r="B378" s="41" t="n"/>
      <c r="C378" s="18" t="n"/>
      <c r="D378" s="42">
        <f>IF(C378="","",IFERROR(INDEX(TenantProperty,MATCH(C378,Tenants,0)),""))</f>
        <v/>
      </c>
      <c r="E378" s="42">
        <f>IF(C378="","",IFERROR(INDEX(TenantUnit,MATCH(C378,Tenants,0)),""))</f>
        <v/>
      </c>
      <c r="F378" s="18" t="n"/>
      <c r="G378" s="18" t="n"/>
      <c r="H378" s="18" t="n"/>
      <c r="I378" s="18" t="n"/>
      <c r="J378" s="37" t="n"/>
      <c r="K378" s="37" t="n"/>
      <c r="L378" s="43">
        <f>IF(C378="","",SUMIFS($J$7:J378,$C$7:C378,C378)-SUMIFS($K$7:K378,$C$7:C378,C378))</f>
        <v/>
      </c>
      <c r="N378">
        <f>IF(AND(C378&lt;&gt;"",C378='Tenant Statement'!$C$6),COUNTIF($C$7:C378,'Tenant Statement'!$C$6),"")</f>
        <v/>
      </c>
    </row>
    <row r="379">
      <c r="B379" s="41" t="n"/>
      <c r="C379" s="18" t="n"/>
      <c r="D379" s="42">
        <f>IF(C379="","",IFERROR(INDEX(TenantProperty,MATCH(C379,Tenants,0)),""))</f>
        <v/>
      </c>
      <c r="E379" s="42">
        <f>IF(C379="","",IFERROR(INDEX(TenantUnit,MATCH(C379,Tenants,0)),""))</f>
        <v/>
      </c>
      <c r="F379" s="18" t="n"/>
      <c r="G379" s="18" t="n"/>
      <c r="H379" s="18" t="n"/>
      <c r="I379" s="18" t="n"/>
      <c r="J379" s="37" t="n"/>
      <c r="K379" s="37" t="n"/>
      <c r="L379" s="43">
        <f>IF(C379="","",SUMIFS($J$7:J379,$C$7:C379,C379)-SUMIFS($K$7:K379,$C$7:C379,C379))</f>
        <v/>
      </c>
      <c r="N379">
        <f>IF(AND(C379&lt;&gt;"",C379='Tenant Statement'!$C$6),COUNTIF($C$7:C379,'Tenant Statement'!$C$6),"")</f>
        <v/>
      </c>
    </row>
    <row r="380">
      <c r="B380" s="41" t="n"/>
      <c r="C380" s="18" t="n"/>
      <c r="D380" s="42">
        <f>IF(C380="","",IFERROR(INDEX(TenantProperty,MATCH(C380,Tenants,0)),""))</f>
        <v/>
      </c>
      <c r="E380" s="42">
        <f>IF(C380="","",IFERROR(INDEX(TenantUnit,MATCH(C380,Tenants,0)),""))</f>
        <v/>
      </c>
      <c r="F380" s="18" t="n"/>
      <c r="G380" s="18" t="n"/>
      <c r="H380" s="18" t="n"/>
      <c r="I380" s="18" t="n"/>
      <c r="J380" s="37" t="n"/>
      <c r="K380" s="37" t="n"/>
      <c r="L380" s="43">
        <f>IF(C380="","",SUMIFS($J$7:J380,$C$7:C380,C380)-SUMIFS($K$7:K380,$C$7:C380,C380))</f>
        <v/>
      </c>
      <c r="N380">
        <f>IF(AND(C380&lt;&gt;"",C380='Tenant Statement'!$C$6),COUNTIF($C$7:C380,'Tenant Statement'!$C$6),"")</f>
        <v/>
      </c>
    </row>
    <row r="381">
      <c r="B381" s="41" t="n"/>
      <c r="C381" s="18" t="n"/>
      <c r="D381" s="42">
        <f>IF(C381="","",IFERROR(INDEX(TenantProperty,MATCH(C381,Tenants,0)),""))</f>
        <v/>
      </c>
      <c r="E381" s="42">
        <f>IF(C381="","",IFERROR(INDEX(TenantUnit,MATCH(C381,Tenants,0)),""))</f>
        <v/>
      </c>
      <c r="F381" s="18" t="n"/>
      <c r="G381" s="18" t="n"/>
      <c r="H381" s="18" t="n"/>
      <c r="I381" s="18" t="n"/>
      <c r="J381" s="37" t="n"/>
      <c r="K381" s="37" t="n"/>
      <c r="L381" s="43">
        <f>IF(C381="","",SUMIFS($J$7:J381,$C$7:C381,C381)-SUMIFS($K$7:K381,$C$7:C381,C381))</f>
        <v/>
      </c>
      <c r="N381">
        <f>IF(AND(C381&lt;&gt;"",C381='Tenant Statement'!$C$6),COUNTIF($C$7:C381,'Tenant Statement'!$C$6),"")</f>
        <v/>
      </c>
    </row>
    <row r="382">
      <c r="B382" s="41" t="n"/>
      <c r="C382" s="18" t="n"/>
      <c r="D382" s="42">
        <f>IF(C382="","",IFERROR(INDEX(TenantProperty,MATCH(C382,Tenants,0)),""))</f>
        <v/>
      </c>
      <c r="E382" s="42">
        <f>IF(C382="","",IFERROR(INDEX(TenantUnit,MATCH(C382,Tenants,0)),""))</f>
        <v/>
      </c>
      <c r="F382" s="18" t="n"/>
      <c r="G382" s="18" t="n"/>
      <c r="H382" s="18" t="n"/>
      <c r="I382" s="18" t="n"/>
      <c r="J382" s="37" t="n"/>
      <c r="K382" s="37" t="n"/>
      <c r="L382" s="43">
        <f>IF(C382="","",SUMIFS($J$7:J382,$C$7:C382,C382)-SUMIFS($K$7:K382,$C$7:C382,C382))</f>
        <v/>
      </c>
      <c r="N382">
        <f>IF(AND(C382&lt;&gt;"",C382='Tenant Statement'!$C$6),COUNTIF($C$7:C382,'Tenant Statement'!$C$6),"")</f>
        <v/>
      </c>
    </row>
    <row r="383">
      <c r="B383" s="41" t="n"/>
      <c r="C383" s="18" t="n"/>
      <c r="D383" s="42">
        <f>IF(C383="","",IFERROR(INDEX(TenantProperty,MATCH(C383,Tenants,0)),""))</f>
        <v/>
      </c>
      <c r="E383" s="42">
        <f>IF(C383="","",IFERROR(INDEX(TenantUnit,MATCH(C383,Tenants,0)),""))</f>
        <v/>
      </c>
      <c r="F383" s="18" t="n"/>
      <c r="G383" s="18" t="n"/>
      <c r="H383" s="18" t="n"/>
      <c r="I383" s="18" t="n"/>
      <c r="J383" s="37" t="n"/>
      <c r="K383" s="37" t="n"/>
      <c r="L383" s="43">
        <f>IF(C383="","",SUMIFS($J$7:J383,$C$7:C383,C383)-SUMIFS($K$7:K383,$C$7:C383,C383))</f>
        <v/>
      </c>
      <c r="N383">
        <f>IF(AND(C383&lt;&gt;"",C383='Tenant Statement'!$C$6),COUNTIF($C$7:C383,'Tenant Statement'!$C$6),"")</f>
        <v/>
      </c>
    </row>
    <row r="384">
      <c r="B384" s="41" t="n"/>
      <c r="C384" s="18" t="n"/>
      <c r="D384" s="42">
        <f>IF(C384="","",IFERROR(INDEX(TenantProperty,MATCH(C384,Tenants,0)),""))</f>
        <v/>
      </c>
      <c r="E384" s="42">
        <f>IF(C384="","",IFERROR(INDEX(TenantUnit,MATCH(C384,Tenants,0)),""))</f>
        <v/>
      </c>
      <c r="F384" s="18" t="n"/>
      <c r="G384" s="18" t="n"/>
      <c r="H384" s="18" t="n"/>
      <c r="I384" s="18" t="n"/>
      <c r="J384" s="37" t="n"/>
      <c r="K384" s="37" t="n"/>
      <c r="L384" s="43">
        <f>IF(C384="","",SUMIFS($J$7:J384,$C$7:C384,C384)-SUMIFS($K$7:K384,$C$7:C384,C384))</f>
        <v/>
      </c>
      <c r="N384">
        <f>IF(AND(C384&lt;&gt;"",C384='Tenant Statement'!$C$6),COUNTIF($C$7:C384,'Tenant Statement'!$C$6),"")</f>
        <v/>
      </c>
    </row>
    <row r="385">
      <c r="B385" s="41" t="n"/>
      <c r="C385" s="18" t="n"/>
      <c r="D385" s="42">
        <f>IF(C385="","",IFERROR(INDEX(TenantProperty,MATCH(C385,Tenants,0)),""))</f>
        <v/>
      </c>
      <c r="E385" s="42">
        <f>IF(C385="","",IFERROR(INDEX(TenantUnit,MATCH(C385,Tenants,0)),""))</f>
        <v/>
      </c>
      <c r="F385" s="18" t="n"/>
      <c r="G385" s="18" t="n"/>
      <c r="H385" s="18" t="n"/>
      <c r="I385" s="18" t="n"/>
      <c r="J385" s="37" t="n"/>
      <c r="K385" s="37" t="n"/>
      <c r="L385" s="43">
        <f>IF(C385="","",SUMIFS($J$7:J385,$C$7:C385,C385)-SUMIFS($K$7:K385,$C$7:C385,C385))</f>
        <v/>
      </c>
      <c r="N385">
        <f>IF(AND(C385&lt;&gt;"",C385='Tenant Statement'!$C$6),COUNTIF($C$7:C385,'Tenant Statement'!$C$6),"")</f>
        <v/>
      </c>
    </row>
    <row r="386">
      <c r="B386" s="41" t="n"/>
      <c r="C386" s="18" t="n"/>
      <c r="D386" s="42">
        <f>IF(C386="","",IFERROR(INDEX(TenantProperty,MATCH(C386,Tenants,0)),""))</f>
        <v/>
      </c>
      <c r="E386" s="42">
        <f>IF(C386="","",IFERROR(INDEX(TenantUnit,MATCH(C386,Tenants,0)),""))</f>
        <v/>
      </c>
      <c r="F386" s="18" t="n"/>
      <c r="G386" s="18" t="n"/>
      <c r="H386" s="18" t="n"/>
      <c r="I386" s="18" t="n"/>
      <c r="J386" s="37" t="n"/>
      <c r="K386" s="37" t="n"/>
      <c r="L386" s="43">
        <f>IF(C386="","",SUMIFS($J$7:J386,$C$7:C386,C386)-SUMIFS($K$7:K386,$C$7:C386,C386))</f>
        <v/>
      </c>
      <c r="N386">
        <f>IF(AND(C386&lt;&gt;"",C386='Tenant Statement'!$C$6),COUNTIF($C$7:C386,'Tenant Statement'!$C$6),"")</f>
        <v/>
      </c>
    </row>
    <row r="387">
      <c r="B387" s="41" t="n"/>
      <c r="C387" s="18" t="n"/>
      <c r="D387" s="42">
        <f>IF(C387="","",IFERROR(INDEX(TenantProperty,MATCH(C387,Tenants,0)),""))</f>
        <v/>
      </c>
      <c r="E387" s="42">
        <f>IF(C387="","",IFERROR(INDEX(TenantUnit,MATCH(C387,Tenants,0)),""))</f>
        <v/>
      </c>
      <c r="F387" s="18" t="n"/>
      <c r="G387" s="18" t="n"/>
      <c r="H387" s="18" t="n"/>
      <c r="I387" s="18" t="n"/>
      <c r="J387" s="37" t="n"/>
      <c r="K387" s="37" t="n"/>
      <c r="L387" s="43">
        <f>IF(C387="","",SUMIFS($J$7:J387,$C$7:C387,C387)-SUMIFS($K$7:K387,$C$7:C387,C387))</f>
        <v/>
      </c>
      <c r="N387">
        <f>IF(AND(C387&lt;&gt;"",C387='Tenant Statement'!$C$6),COUNTIF($C$7:C387,'Tenant Statement'!$C$6),"")</f>
        <v/>
      </c>
    </row>
    <row r="388">
      <c r="B388" s="41" t="n"/>
      <c r="C388" s="18" t="n"/>
      <c r="D388" s="42">
        <f>IF(C388="","",IFERROR(INDEX(TenantProperty,MATCH(C388,Tenants,0)),""))</f>
        <v/>
      </c>
      <c r="E388" s="42">
        <f>IF(C388="","",IFERROR(INDEX(TenantUnit,MATCH(C388,Tenants,0)),""))</f>
        <v/>
      </c>
      <c r="F388" s="18" t="n"/>
      <c r="G388" s="18" t="n"/>
      <c r="H388" s="18" t="n"/>
      <c r="I388" s="18" t="n"/>
      <c r="J388" s="37" t="n"/>
      <c r="K388" s="37" t="n"/>
      <c r="L388" s="43">
        <f>IF(C388="","",SUMIFS($J$7:J388,$C$7:C388,C388)-SUMIFS($K$7:K388,$C$7:C388,C388))</f>
        <v/>
      </c>
      <c r="N388">
        <f>IF(AND(C388&lt;&gt;"",C388='Tenant Statement'!$C$6),COUNTIF($C$7:C388,'Tenant Statement'!$C$6),"")</f>
        <v/>
      </c>
    </row>
    <row r="389">
      <c r="B389" s="41" t="n"/>
      <c r="C389" s="18" t="n"/>
      <c r="D389" s="42">
        <f>IF(C389="","",IFERROR(INDEX(TenantProperty,MATCH(C389,Tenants,0)),""))</f>
        <v/>
      </c>
      <c r="E389" s="42">
        <f>IF(C389="","",IFERROR(INDEX(TenantUnit,MATCH(C389,Tenants,0)),""))</f>
        <v/>
      </c>
      <c r="F389" s="18" t="n"/>
      <c r="G389" s="18" t="n"/>
      <c r="H389" s="18" t="n"/>
      <c r="I389" s="18" t="n"/>
      <c r="J389" s="37" t="n"/>
      <c r="K389" s="37" t="n"/>
      <c r="L389" s="43">
        <f>IF(C389="","",SUMIFS($J$7:J389,$C$7:C389,C389)-SUMIFS($K$7:K389,$C$7:C389,C389))</f>
        <v/>
      </c>
      <c r="N389">
        <f>IF(AND(C389&lt;&gt;"",C389='Tenant Statement'!$C$6),COUNTIF($C$7:C389,'Tenant Statement'!$C$6),"")</f>
        <v/>
      </c>
    </row>
    <row r="390">
      <c r="B390" s="41" t="n"/>
      <c r="C390" s="18" t="n"/>
      <c r="D390" s="42">
        <f>IF(C390="","",IFERROR(INDEX(TenantProperty,MATCH(C390,Tenants,0)),""))</f>
        <v/>
      </c>
      <c r="E390" s="42">
        <f>IF(C390="","",IFERROR(INDEX(TenantUnit,MATCH(C390,Tenants,0)),""))</f>
        <v/>
      </c>
      <c r="F390" s="18" t="n"/>
      <c r="G390" s="18" t="n"/>
      <c r="H390" s="18" t="n"/>
      <c r="I390" s="18" t="n"/>
      <c r="J390" s="37" t="n"/>
      <c r="K390" s="37" t="n"/>
      <c r="L390" s="43">
        <f>IF(C390="","",SUMIFS($J$7:J390,$C$7:C390,C390)-SUMIFS($K$7:K390,$C$7:C390,C390))</f>
        <v/>
      </c>
      <c r="N390">
        <f>IF(AND(C390&lt;&gt;"",C390='Tenant Statement'!$C$6),COUNTIF($C$7:C390,'Tenant Statement'!$C$6),"")</f>
        <v/>
      </c>
    </row>
    <row r="391">
      <c r="B391" s="41" t="n"/>
      <c r="C391" s="18" t="n"/>
      <c r="D391" s="42">
        <f>IF(C391="","",IFERROR(INDEX(TenantProperty,MATCH(C391,Tenants,0)),""))</f>
        <v/>
      </c>
      <c r="E391" s="42">
        <f>IF(C391="","",IFERROR(INDEX(TenantUnit,MATCH(C391,Tenants,0)),""))</f>
        <v/>
      </c>
      <c r="F391" s="18" t="n"/>
      <c r="G391" s="18" t="n"/>
      <c r="H391" s="18" t="n"/>
      <c r="I391" s="18" t="n"/>
      <c r="J391" s="37" t="n"/>
      <c r="K391" s="37" t="n"/>
      <c r="L391" s="43">
        <f>IF(C391="","",SUMIFS($J$7:J391,$C$7:C391,C391)-SUMIFS($K$7:K391,$C$7:C391,C391))</f>
        <v/>
      </c>
      <c r="N391">
        <f>IF(AND(C391&lt;&gt;"",C391='Tenant Statement'!$C$6),COUNTIF($C$7:C391,'Tenant Statement'!$C$6),"")</f>
        <v/>
      </c>
    </row>
    <row r="392">
      <c r="B392" s="41" t="n"/>
      <c r="C392" s="18" t="n"/>
      <c r="D392" s="42">
        <f>IF(C392="","",IFERROR(INDEX(TenantProperty,MATCH(C392,Tenants,0)),""))</f>
        <v/>
      </c>
      <c r="E392" s="42">
        <f>IF(C392="","",IFERROR(INDEX(TenantUnit,MATCH(C392,Tenants,0)),""))</f>
        <v/>
      </c>
      <c r="F392" s="18" t="n"/>
      <c r="G392" s="18" t="n"/>
      <c r="H392" s="18" t="n"/>
      <c r="I392" s="18" t="n"/>
      <c r="J392" s="37" t="n"/>
      <c r="K392" s="37" t="n"/>
      <c r="L392" s="43">
        <f>IF(C392="","",SUMIFS($J$7:J392,$C$7:C392,C392)-SUMIFS($K$7:K392,$C$7:C392,C392))</f>
        <v/>
      </c>
      <c r="N392">
        <f>IF(AND(C392&lt;&gt;"",C392='Tenant Statement'!$C$6),COUNTIF($C$7:C392,'Tenant Statement'!$C$6),"")</f>
        <v/>
      </c>
    </row>
    <row r="393">
      <c r="B393" s="41" t="n"/>
      <c r="C393" s="18" t="n"/>
      <c r="D393" s="42">
        <f>IF(C393="","",IFERROR(INDEX(TenantProperty,MATCH(C393,Tenants,0)),""))</f>
        <v/>
      </c>
      <c r="E393" s="42">
        <f>IF(C393="","",IFERROR(INDEX(TenantUnit,MATCH(C393,Tenants,0)),""))</f>
        <v/>
      </c>
      <c r="F393" s="18" t="n"/>
      <c r="G393" s="18" t="n"/>
      <c r="H393" s="18" t="n"/>
      <c r="I393" s="18" t="n"/>
      <c r="J393" s="37" t="n"/>
      <c r="K393" s="37" t="n"/>
      <c r="L393" s="43">
        <f>IF(C393="","",SUMIFS($J$7:J393,$C$7:C393,C393)-SUMIFS($K$7:K393,$C$7:C393,C393))</f>
        <v/>
      </c>
      <c r="N393">
        <f>IF(AND(C393&lt;&gt;"",C393='Tenant Statement'!$C$6),COUNTIF($C$7:C393,'Tenant Statement'!$C$6),"")</f>
        <v/>
      </c>
    </row>
    <row r="394">
      <c r="B394" s="41" t="n"/>
      <c r="C394" s="18" t="n"/>
      <c r="D394" s="42">
        <f>IF(C394="","",IFERROR(INDEX(TenantProperty,MATCH(C394,Tenants,0)),""))</f>
        <v/>
      </c>
      <c r="E394" s="42">
        <f>IF(C394="","",IFERROR(INDEX(TenantUnit,MATCH(C394,Tenants,0)),""))</f>
        <v/>
      </c>
      <c r="F394" s="18" t="n"/>
      <c r="G394" s="18" t="n"/>
      <c r="H394" s="18" t="n"/>
      <c r="I394" s="18" t="n"/>
      <c r="J394" s="37" t="n"/>
      <c r="K394" s="37" t="n"/>
      <c r="L394" s="43">
        <f>IF(C394="","",SUMIFS($J$7:J394,$C$7:C394,C394)-SUMIFS($K$7:K394,$C$7:C394,C394))</f>
        <v/>
      </c>
      <c r="N394">
        <f>IF(AND(C394&lt;&gt;"",C394='Tenant Statement'!$C$6),COUNTIF($C$7:C394,'Tenant Statement'!$C$6),"")</f>
        <v/>
      </c>
    </row>
    <row r="395">
      <c r="B395" s="41" t="n"/>
      <c r="C395" s="18" t="n"/>
      <c r="D395" s="42">
        <f>IF(C395="","",IFERROR(INDEX(TenantProperty,MATCH(C395,Tenants,0)),""))</f>
        <v/>
      </c>
      <c r="E395" s="42">
        <f>IF(C395="","",IFERROR(INDEX(TenantUnit,MATCH(C395,Tenants,0)),""))</f>
        <v/>
      </c>
      <c r="F395" s="18" t="n"/>
      <c r="G395" s="18" t="n"/>
      <c r="H395" s="18" t="n"/>
      <c r="I395" s="18" t="n"/>
      <c r="J395" s="37" t="n"/>
      <c r="K395" s="37" t="n"/>
      <c r="L395" s="43">
        <f>IF(C395="","",SUMIFS($J$7:J395,$C$7:C395,C395)-SUMIFS($K$7:K395,$C$7:C395,C395))</f>
        <v/>
      </c>
      <c r="N395">
        <f>IF(AND(C395&lt;&gt;"",C395='Tenant Statement'!$C$6),COUNTIF($C$7:C395,'Tenant Statement'!$C$6),"")</f>
        <v/>
      </c>
    </row>
    <row r="396">
      <c r="B396" s="41" t="n"/>
      <c r="C396" s="18" t="n"/>
      <c r="D396" s="42">
        <f>IF(C396="","",IFERROR(INDEX(TenantProperty,MATCH(C396,Tenants,0)),""))</f>
        <v/>
      </c>
      <c r="E396" s="42">
        <f>IF(C396="","",IFERROR(INDEX(TenantUnit,MATCH(C396,Tenants,0)),""))</f>
        <v/>
      </c>
      <c r="F396" s="18" t="n"/>
      <c r="G396" s="18" t="n"/>
      <c r="H396" s="18" t="n"/>
      <c r="I396" s="18" t="n"/>
      <c r="J396" s="37" t="n"/>
      <c r="K396" s="37" t="n"/>
      <c r="L396" s="43">
        <f>IF(C396="","",SUMIFS($J$7:J396,$C$7:C396,C396)-SUMIFS($K$7:K396,$C$7:C396,C396))</f>
        <v/>
      </c>
      <c r="N396">
        <f>IF(AND(C396&lt;&gt;"",C396='Tenant Statement'!$C$6),COUNTIF($C$7:C396,'Tenant Statement'!$C$6),"")</f>
        <v/>
      </c>
    </row>
    <row r="397">
      <c r="B397" s="41" t="n"/>
      <c r="C397" s="18" t="n"/>
      <c r="D397" s="42">
        <f>IF(C397="","",IFERROR(INDEX(TenantProperty,MATCH(C397,Tenants,0)),""))</f>
        <v/>
      </c>
      <c r="E397" s="42">
        <f>IF(C397="","",IFERROR(INDEX(TenantUnit,MATCH(C397,Tenants,0)),""))</f>
        <v/>
      </c>
      <c r="F397" s="18" t="n"/>
      <c r="G397" s="18" t="n"/>
      <c r="H397" s="18" t="n"/>
      <c r="I397" s="18" t="n"/>
      <c r="J397" s="37" t="n"/>
      <c r="K397" s="37" t="n"/>
      <c r="L397" s="43">
        <f>IF(C397="","",SUMIFS($J$7:J397,$C$7:C397,C397)-SUMIFS($K$7:K397,$C$7:C397,C397))</f>
        <v/>
      </c>
      <c r="N397">
        <f>IF(AND(C397&lt;&gt;"",C397='Tenant Statement'!$C$6),COUNTIF($C$7:C397,'Tenant Statement'!$C$6),"")</f>
        <v/>
      </c>
    </row>
    <row r="398">
      <c r="B398" s="41" t="n"/>
      <c r="C398" s="18" t="n"/>
      <c r="D398" s="42">
        <f>IF(C398="","",IFERROR(INDEX(TenantProperty,MATCH(C398,Tenants,0)),""))</f>
        <v/>
      </c>
      <c r="E398" s="42">
        <f>IF(C398="","",IFERROR(INDEX(TenantUnit,MATCH(C398,Tenants,0)),""))</f>
        <v/>
      </c>
      <c r="F398" s="18" t="n"/>
      <c r="G398" s="18" t="n"/>
      <c r="H398" s="18" t="n"/>
      <c r="I398" s="18" t="n"/>
      <c r="J398" s="37" t="n"/>
      <c r="K398" s="37" t="n"/>
      <c r="L398" s="43">
        <f>IF(C398="","",SUMIFS($J$7:J398,$C$7:C398,C398)-SUMIFS($K$7:K398,$C$7:C398,C398))</f>
        <v/>
      </c>
      <c r="N398">
        <f>IF(AND(C398&lt;&gt;"",C398='Tenant Statement'!$C$6),COUNTIF($C$7:C398,'Tenant Statement'!$C$6),"")</f>
        <v/>
      </c>
    </row>
    <row r="399">
      <c r="B399" s="41" t="n"/>
      <c r="C399" s="18" t="n"/>
      <c r="D399" s="42">
        <f>IF(C399="","",IFERROR(INDEX(TenantProperty,MATCH(C399,Tenants,0)),""))</f>
        <v/>
      </c>
      <c r="E399" s="42">
        <f>IF(C399="","",IFERROR(INDEX(TenantUnit,MATCH(C399,Tenants,0)),""))</f>
        <v/>
      </c>
      <c r="F399" s="18" t="n"/>
      <c r="G399" s="18" t="n"/>
      <c r="H399" s="18" t="n"/>
      <c r="I399" s="18" t="n"/>
      <c r="J399" s="37" t="n"/>
      <c r="K399" s="37" t="n"/>
      <c r="L399" s="43">
        <f>IF(C399="","",SUMIFS($J$7:J399,$C$7:C399,C399)-SUMIFS($K$7:K399,$C$7:C399,C399))</f>
        <v/>
      </c>
      <c r="N399">
        <f>IF(AND(C399&lt;&gt;"",C399='Tenant Statement'!$C$6),COUNTIF($C$7:C399,'Tenant Statement'!$C$6),"")</f>
        <v/>
      </c>
    </row>
    <row r="400">
      <c r="B400" s="41" t="n"/>
      <c r="C400" s="18" t="n"/>
      <c r="D400" s="42">
        <f>IF(C400="","",IFERROR(INDEX(TenantProperty,MATCH(C400,Tenants,0)),""))</f>
        <v/>
      </c>
      <c r="E400" s="42">
        <f>IF(C400="","",IFERROR(INDEX(TenantUnit,MATCH(C400,Tenants,0)),""))</f>
        <v/>
      </c>
      <c r="F400" s="18" t="n"/>
      <c r="G400" s="18" t="n"/>
      <c r="H400" s="18" t="n"/>
      <c r="I400" s="18" t="n"/>
      <c r="J400" s="37" t="n"/>
      <c r="K400" s="37" t="n"/>
      <c r="L400" s="43">
        <f>IF(C400="","",SUMIFS($J$7:J400,$C$7:C400,C400)-SUMIFS($K$7:K400,$C$7:C400,C400))</f>
        <v/>
      </c>
      <c r="N400">
        <f>IF(AND(C400&lt;&gt;"",C400='Tenant Statement'!$C$6),COUNTIF($C$7:C400,'Tenant Statement'!$C$6),"")</f>
        <v/>
      </c>
    </row>
    <row r="401">
      <c r="B401" s="41" t="n"/>
      <c r="C401" s="18" t="n"/>
      <c r="D401" s="42">
        <f>IF(C401="","",IFERROR(INDEX(TenantProperty,MATCH(C401,Tenants,0)),""))</f>
        <v/>
      </c>
      <c r="E401" s="42">
        <f>IF(C401="","",IFERROR(INDEX(TenantUnit,MATCH(C401,Tenants,0)),""))</f>
        <v/>
      </c>
      <c r="F401" s="18" t="n"/>
      <c r="G401" s="18" t="n"/>
      <c r="H401" s="18" t="n"/>
      <c r="I401" s="18" t="n"/>
      <c r="J401" s="37" t="n"/>
      <c r="K401" s="37" t="n"/>
      <c r="L401" s="43">
        <f>IF(C401="","",SUMIFS($J$7:J401,$C$7:C401,C401)-SUMIFS($K$7:K401,$C$7:C401,C401))</f>
        <v/>
      </c>
      <c r="N401">
        <f>IF(AND(C401&lt;&gt;"",C401='Tenant Statement'!$C$6),COUNTIF($C$7:C401,'Tenant Statement'!$C$6),"")</f>
        <v/>
      </c>
    </row>
    <row r="402">
      <c r="B402" s="41" t="n"/>
      <c r="C402" s="18" t="n"/>
      <c r="D402" s="42">
        <f>IF(C402="","",IFERROR(INDEX(TenantProperty,MATCH(C402,Tenants,0)),""))</f>
        <v/>
      </c>
      <c r="E402" s="42">
        <f>IF(C402="","",IFERROR(INDEX(TenantUnit,MATCH(C402,Tenants,0)),""))</f>
        <v/>
      </c>
      <c r="F402" s="18" t="n"/>
      <c r="G402" s="18" t="n"/>
      <c r="H402" s="18" t="n"/>
      <c r="I402" s="18" t="n"/>
      <c r="J402" s="37" t="n"/>
      <c r="K402" s="37" t="n"/>
      <c r="L402" s="43">
        <f>IF(C402="","",SUMIFS($J$7:J402,$C$7:C402,C402)-SUMIFS($K$7:K402,$C$7:C402,C402))</f>
        <v/>
      </c>
      <c r="N402">
        <f>IF(AND(C402&lt;&gt;"",C402='Tenant Statement'!$C$6),COUNTIF($C$7:C402,'Tenant Statement'!$C$6),"")</f>
        <v/>
      </c>
    </row>
    <row r="403">
      <c r="B403" s="41" t="n"/>
      <c r="C403" s="18" t="n"/>
      <c r="D403" s="42">
        <f>IF(C403="","",IFERROR(INDEX(TenantProperty,MATCH(C403,Tenants,0)),""))</f>
        <v/>
      </c>
      <c r="E403" s="42">
        <f>IF(C403="","",IFERROR(INDEX(TenantUnit,MATCH(C403,Tenants,0)),""))</f>
        <v/>
      </c>
      <c r="F403" s="18" t="n"/>
      <c r="G403" s="18" t="n"/>
      <c r="H403" s="18" t="n"/>
      <c r="I403" s="18" t="n"/>
      <c r="J403" s="37" t="n"/>
      <c r="K403" s="37" t="n"/>
      <c r="L403" s="43">
        <f>IF(C403="","",SUMIFS($J$7:J403,$C$7:C403,C403)-SUMIFS($K$7:K403,$C$7:C403,C403))</f>
        <v/>
      </c>
      <c r="N403">
        <f>IF(AND(C403&lt;&gt;"",C403='Tenant Statement'!$C$6),COUNTIF($C$7:C403,'Tenant Statement'!$C$6),"")</f>
        <v/>
      </c>
    </row>
    <row r="404">
      <c r="B404" s="41" t="n"/>
      <c r="C404" s="18" t="n"/>
      <c r="D404" s="42">
        <f>IF(C404="","",IFERROR(INDEX(TenantProperty,MATCH(C404,Tenants,0)),""))</f>
        <v/>
      </c>
      <c r="E404" s="42">
        <f>IF(C404="","",IFERROR(INDEX(TenantUnit,MATCH(C404,Tenants,0)),""))</f>
        <v/>
      </c>
      <c r="F404" s="18" t="n"/>
      <c r="G404" s="18" t="n"/>
      <c r="H404" s="18" t="n"/>
      <c r="I404" s="18" t="n"/>
      <c r="J404" s="37" t="n"/>
      <c r="K404" s="37" t="n"/>
      <c r="L404" s="43">
        <f>IF(C404="","",SUMIFS($J$7:J404,$C$7:C404,C404)-SUMIFS($K$7:K404,$C$7:C404,C404))</f>
        <v/>
      </c>
      <c r="N404">
        <f>IF(AND(C404&lt;&gt;"",C404='Tenant Statement'!$C$6),COUNTIF($C$7:C404,'Tenant Statement'!$C$6),"")</f>
        <v/>
      </c>
    </row>
    <row r="405">
      <c r="B405" s="41" t="n"/>
      <c r="C405" s="18" t="n"/>
      <c r="D405" s="42">
        <f>IF(C405="","",IFERROR(INDEX(TenantProperty,MATCH(C405,Tenants,0)),""))</f>
        <v/>
      </c>
      <c r="E405" s="42">
        <f>IF(C405="","",IFERROR(INDEX(TenantUnit,MATCH(C405,Tenants,0)),""))</f>
        <v/>
      </c>
      <c r="F405" s="18" t="n"/>
      <c r="G405" s="18" t="n"/>
      <c r="H405" s="18" t="n"/>
      <c r="I405" s="18" t="n"/>
      <c r="J405" s="37" t="n"/>
      <c r="K405" s="37" t="n"/>
      <c r="L405" s="43">
        <f>IF(C405="","",SUMIFS($J$7:J405,$C$7:C405,C405)-SUMIFS($K$7:K405,$C$7:C405,C405))</f>
        <v/>
      </c>
      <c r="N405">
        <f>IF(AND(C405&lt;&gt;"",C405='Tenant Statement'!$C$6),COUNTIF($C$7:C405,'Tenant Statement'!$C$6),"")</f>
        <v/>
      </c>
    </row>
    <row r="406">
      <c r="B406" s="41" t="n"/>
      <c r="C406" s="18" t="n"/>
      <c r="D406" s="42">
        <f>IF(C406="","",IFERROR(INDEX(TenantProperty,MATCH(C406,Tenants,0)),""))</f>
        <v/>
      </c>
      <c r="E406" s="42">
        <f>IF(C406="","",IFERROR(INDEX(TenantUnit,MATCH(C406,Tenants,0)),""))</f>
        <v/>
      </c>
      <c r="F406" s="18" t="n"/>
      <c r="G406" s="18" t="n"/>
      <c r="H406" s="18" t="n"/>
      <c r="I406" s="18" t="n"/>
      <c r="J406" s="37" t="n"/>
      <c r="K406" s="37" t="n"/>
      <c r="L406" s="43">
        <f>IF(C406="","",SUMIFS($J$7:J406,$C$7:C406,C406)-SUMIFS($K$7:K406,$C$7:C406,C406))</f>
        <v/>
      </c>
      <c r="N406">
        <f>IF(AND(C406&lt;&gt;"",C406='Tenant Statement'!$C$6),COUNTIF($C$7:C406,'Tenant Statement'!$C$6),"")</f>
        <v/>
      </c>
    </row>
    <row r="407">
      <c r="B407" s="41" t="n"/>
      <c r="C407" s="18" t="n"/>
      <c r="D407" s="42">
        <f>IF(C407="","",IFERROR(INDEX(TenantProperty,MATCH(C407,Tenants,0)),""))</f>
        <v/>
      </c>
      <c r="E407" s="42">
        <f>IF(C407="","",IFERROR(INDEX(TenantUnit,MATCH(C407,Tenants,0)),""))</f>
        <v/>
      </c>
      <c r="F407" s="18" t="n"/>
      <c r="G407" s="18" t="n"/>
      <c r="H407" s="18" t="n"/>
      <c r="I407" s="18" t="n"/>
      <c r="J407" s="37" t="n"/>
      <c r="K407" s="37" t="n"/>
      <c r="L407" s="43">
        <f>IF(C407="","",SUMIFS($J$7:J407,$C$7:C407,C407)-SUMIFS($K$7:K407,$C$7:C407,C407))</f>
        <v/>
      </c>
      <c r="N407">
        <f>IF(AND(C407&lt;&gt;"",C407='Tenant Statement'!$C$6),COUNTIF($C$7:C407,'Tenant Statement'!$C$6),"")</f>
        <v/>
      </c>
    </row>
    <row r="408">
      <c r="B408" s="41" t="n"/>
      <c r="C408" s="18" t="n"/>
      <c r="D408" s="42">
        <f>IF(C408="","",IFERROR(INDEX(TenantProperty,MATCH(C408,Tenants,0)),""))</f>
        <v/>
      </c>
      <c r="E408" s="42">
        <f>IF(C408="","",IFERROR(INDEX(TenantUnit,MATCH(C408,Tenants,0)),""))</f>
        <v/>
      </c>
      <c r="F408" s="18" t="n"/>
      <c r="G408" s="18" t="n"/>
      <c r="H408" s="18" t="n"/>
      <c r="I408" s="18" t="n"/>
      <c r="J408" s="37" t="n"/>
      <c r="K408" s="37" t="n"/>
      <c r="L408" s="43">
        <f>IF(C408="","",SUMIFS($J$7:J408,$C$7:C408,C408)-SUMIFS($K$7:K408,$C$7:C408,C408))</f>
        <v/>
      </c>
      <c r="N408">
        <f>IF(AND(C408&lt;&gt;"",C408='Tenant Statement'!$C$6),COUNTIF($C$7:C408,'Tenant Statement'!$C$6),"")</f>
        <v/>
      </c>
    </row>
    <row r="409">
      <c r="B409" s="41" t="n"/>
      <c r="C409" s="18" t="n"/>
      <c r="D409" s="42">
        <f>IF(C409="","",IFERROR(INDEX(TenantProperty,MATCH(C409,Tenants,0)),""))</f>
        <v/>
      </c>
      <c r="E409" s="42">
        <f>IF(C409="","",IFERROR(INDEX(TenantUnit,MATCH(C409,Tenants,0)),""))</f>
        <v/>
      </c>
      <c r="F409" s="18" t="n"/>
      <c r="G409" s="18" t="n"/>
      <c r="H409" s="18" t="n"/>
      <c r="I409" s="18" t="n"/>
      <c r="J409" s="37" t="n"/>
      <c r="K409" s="37" t="n"/>
      <c r="L409" s="43">
        <f>IF(C409="","",SUMIFS($J$7:J409,$C$7:C409,C409)-SUMIFS($K$7:K409,$C$7:C409,C409))</f>
        <v/>
      </c>
      <c r="N409">
        <f>IF(AND(C409&lt;&gt;"",C409='Tenant Statement'!$C$6),COUNTIF($C$7:C409,'Tenant Statement'!$C$6),"")</f>
        <v/>
      </c>
    </row>
    <row r="410">
      <c r="B410" s="41" t="n"/>
      <c r="C410" s="18" t="n"/>
      <c r="D410" s="42">
        <f>IF(C410="","",IFERROR(INDEX(TenantProperty,MATCH(C410,Tenants,0)),""))</f>
        <v/>
      </c>
      <c r="E410" s="42">
        <f>IF(C410="","",IFERROR(INDEX(TenantUnit,MATCH(C410,Tenants,0)),""))</f>
        <v/>
      </c>
      <c r="F410" s="18" t="n"/>
      <c r="G410" s="18" t="n"/>
      <c r="H410" s="18" t="n"/>
      <c r="I410" s="18" t="n"/>
      <c r="J410" s="37" t="n"/>
      <c r="K410" s="37" t="n"/>
      <c r="L410" s="43">
        <f>IF(C410="","",SUMIFS($J$7:J410,$C$7:C410,C410)-SUMIFS($K$7:K410,$C$7:C410,C410))</f>
        <v/>
      </c>
      <c r="N410">
        <f>IF(AND(C410&lt;&gt;"",C410='Tenant Statement'!$C$6),COUNTIF($C$7:C410,'Tenant Statement'!$C$6),"")</f>
        <v/>
      </c>
    </row>
    <row r="411">
      <c r="B411" s="41" t="n"/>
      <c r="C411" s="18" t="n"/>
      <c r="D411" s="42">
        <f>IF(C411="","",IFERROR(INDEX(TenantProperty,MATCH(C411,Tenants,0)),""))</f>
        <v/>
      </c>
      <c r="E411" s="42">
        <f>IF(C411="","",IFERROR(INDEX(TenantUnit,MATCH(C411,Tenants,0)),""))</f>
        <v/>
      </c>
      <c r="F411" s="18" t="n"/>
      <c r="G411" s="18" t="n"/>
      <c r="H411" s="18" t="n"/>
      <c r="I411" s="18" t="n"/>
      <c r="J411" s="37" t="n"/>
      <c r="K411" s="37" t="n"/>
      <c r="L411" s="43">
        <f>IF(C411="","",SUMIFS($J$7:J411,$C$7:C411,C411)-SUMIFS($K$7:K411,$C$7:C411,C411))</f>
        <v/>
      </c>
      <c r="N411">
        <f>IF(AND(C411&lt;&gt;"",C411='Tenant Statement'!$C$6),COUNTIF($C$7:C411,'Tenant Statement'!$C$6),"")</f>
        <v/>
      </c>
    </row>
    <row r="412">
      <c r="B412" s="41" t="n"/>
      <c r="C412" s="18" t="n"/>
      <c r="D412" s="42">
        <f>IF(C412="","",IFERROR(INDEX(TenantProperty,MATCH(C412,Tenants,0)),""))</f>
        <v/>
      </c>
      <c r="E412" s="42">
        <f>IF(C412="","",IFERROR(INDEX(TenantUnit,MATCH(C412,Tenants,0)),""))</f>
        <v/>
      </c>
      <c r="F412" s="18" t="n"/>
      <c r="G412" s="18" t="n"/>
      <c r="H412" s="18" t="n"/>
      <c r="I412" s="18" t="n"/>
      <c r="J412" s="37" t="n"/>
      <c r="K412" s="37" t="n"/>
      <c r="L412" s="43">
        <f>IF(C412="","",SUMIFS($J$7:J412,$C$7:C412,C412)-SUMIFS($K$7:K412,$C$7:C412,C412))</f>
        <v/>
      </c>
      <c r="N412">
        <f>IF(AND(C412&lt;&gt;"",C412='Tenant Statement'!$C$6),COUNTIF($C$7:C412,'Tenant Statement'!$C$6),"")</f>
        <v/>
      </c>
    </row>
    <row r="413">
      <c r="B413" s="41" t="n"/>
      <c r="C413" s="18" t="n"/>
      <c r="D413" s="42">
        <f>IF(C413="","",IFERROR(INDEX(TenantProperty,MATCH(C413,Tenants,0)),""))</f>
        <v/>
      </c>
      <c r="E413" s="42">
        <f>IF(C413="","",IFERROR(INDEX(TenantUnit,MATCH(C413,Tenants,0)),""))</f>
        <v/>
      </c>
      <c r="F413" s="18" t="n"/>
      <c r="G413" s="18" t="n"/>
      <c r="H413" s="18" t="n"/>
      <c r="I413" s="18" t="n"/>
      <c r="J413" s="37" t="n"/>
      <c r="K413" s="37" t="n"/>
      <c r="L413" s="43">
        <f>IF(C413="","",SUMIFS($J$7:J413,$C$7:C413,C413)-SUMIFS($K$7:K413,$C$7:C413,C413))</f>
        <v/>
      </c>
      <c r="N413">
        <f>IF(AND(C413&lt;&gt;"",C413='Tenant Statement'!$C$6),COUNTIF($C$7:C413,'Tenant Statement'!$C$6),"")</f>
        <v/>
      </c>
    </row>
    <row r="414">
      <c r="B414" s="41" t="n"/>
      <c r="C414" s="18" t="n"/>
      <c r="D414" s="42">
        <f>IF(C414="","",IFERROR(INDEX(TenantProperty,MATCH(C414,Tenants,0)),""))</f>
        <v/>
      </c>
      <c r="E414" s="42">
        <f>IF(C414="","",IFERROR(INDEX(TenantUnit,MATCH(C414,Tenants,0)),""))</f>
        <v/>
      </c>
      <c r="F414" s="18" t="n"/>
      <c r="G414" s="18" t="n"/>
      <c r="H414" s="18" t="n"/>
      <c r="I414" s="18" t="n"/>
      <c r="J414" s="37" t="n"/>
      <c r="K414" s="37" t="n"/>
      <c r="L414" s="43">
        <f>IF(C414="","",SUMIFS($J$7:J414,$C$7:C414,C414)-SUMIFS($K$7:K414,$C$7:C414,C414))</f>
        <v/>
      </c>
      <c r="N414">
        <f>IF(AND(C414&lt;&gt;"",C414='Tenant Statement'!$C$6),COUNTIF($C$7:C414,'Tenant Statement'!$C$6),"")</f>
        <v/>
      </c>
    </row>
    <row r="415">
      <c r="B415" s="41" t="n"/>
      <c r="C415" s="18" t="n"/>
      <c r="D415" s="42">
        <f>IF(C415="","",IFERROR(INDEX(TenantProperty,MATCH(C415,Tenants,0)),""))</f>
        <v/>
      </c>
      <c r="E415" s="42">
        <f>IF(C415="","",IFERROR(INDEX(TenantUnit,MATCH(C415,Tenants,0)),""))</f>
        <v/>
      </c>
      <c r="F415" s="18" t="n"/>
      <c r="G415" s="18" t="n"/>
      <c r="H415" s="18" t="n"/>
      <c r="I415" s="18" t="n"/>
      <c r="J415" s="37" t="n"/>
      <c r="K415" s="37" t="n"/>
      <c r="L415" s="43">
        <f>IF(C415="","",SUMIFS($J$7:J415,$C$7:C415,C415)-SUMIFS($K$7:K415,$C$7:C415,C415))</f>
        <v/>
      </c>
      <c r="N415">
        <f>IF(AND(C415&lt;&gt;"",C415='Tenant Statement'!$C$6),COUNTIF($C$7:C415,'Tenant Statement'!$C$6),"")</f>
        <v/>
      </c>
    </row>
    <row r="416">
      <c r="B416" s="41" t="n"/>
      <c r="C416" s="18" t="n"/>
      <c r="D416" s="42">
        <f>IF(C416="","",IFERROR(INDEX(TenantProperty,MATCH(C416,Tenants,0)),""))</f>
        <v/>
      </c>
      <c r="E416" s="42">
        <f>IF(C416="","",IFERROR(INDEX(TenantUnit,MATCH(C416,Tenants,0)),""))</f>
        <v/>
      </c>
      <c r="F416" s="18" t="n"/>
      <c r="G416" s="18" t="n"/>
      <c r="H416" s="18" t="n"/>
      <c r="I416" s="18" t="n"/>
      <c r="J416" s="37" t="n"/>
      <c r="K416" s="37" t="n"/>
      <c r="L416" s="43">
        <f>IF(C416="","",SUMIFS($J$7:J416,$C$7:C416,C416)-SUMIFS($K$7:K416,$C$7:C416,C416))</f>
        <v/>
      </c>
      <c r="N416">
        <f>IF(AND(C416&lt;&gt;"",C416='Tenant Statement'!$C$6),COUNTIF($C$7:C416,'Tenant Statement'!$C$6),"")</f>
        <v/>
      </c>
    </row>
    <row r="417">
      <c r="B417" s="41" t="n"/>
      <c r="C417" s="18" t="n"/>
      <c r="D417" s="42">
        <f>IF(C417="","",IFERROR(INDEX(TenantProperty,MATCH(C417,Tenants,0)),""))</f>
        <v/>
      </c>
      <c r="E417" s="42">
        <f>IF(C417="","",IFERROR(INDEX(TenantUnit,MATCH(C417,Tenants,0)),""))</f>
        <v/>
      </c>
      <c r="F417" s="18" t="n"/>
      <c r="G417" s="18" t="n"/>
      <c r="H417" s="18" t="n"/>
      <c r="I417" s="18" t="n"/>
      <c r="J417" s="37" t="n"/>
      <c r="K417" s="37" t="n"/>
      <c r="L417" s="43">
        <f>IF(C417="","",SUMIFS($J$7:J417,$C$7:C417,C417)-SUMIFS($K$7:K417,$C$7:C417,C417))</f>
        <v/>
      </c>
      <c r="N417">
        <f>IF(AND(C417&lt;&gt;"",C417='Tenant Statement'!$C$6),COUNTIF($C$7:C417,'Tenant Statement'!$C$6),"")</f>
        <v/>
      </c>
    </row>
    <row r="418">
      <c r="B418" s="41" t="n"/>
      <c r="C418" s="18" t="n"/>
      <c r="D418" s="42">
        <f>IF(C418="","",IFERROR(INDEX(TenantProperty,MATCH(C418,Tenants,0)),""))</f>
        <v/>
      </c>
      <c r="E418" s="42">
        <f>IF(C418="","",IFERROR(INDEX(TenantUnit,MATCH(C418,Tenants,0)),""))</f>
        <v/>
      </c>
      <c r="F418" s="18" t="n"/>
      <c r="G418" s="18" t="n"/>
      <c r="H418" s="18" t="n"/>
      <c r="I418" s="18" t="n"/>
      <c r="J418" s="37" t="n"/>
      <c r="K418" s="37" t="n"/>
      <c r="L418" s="43">
        <f>IF(C418="","",SUMIFS($J$7:J418,$C$7:C418,C418)-SUMIFS($K$7:K418,$C$7:C418,C418))</f>
        <v/>
      </c>
      <c r="N418">
        <f>IF(AND(C418&lt;&gt;"",C418='Tenant Statement'!$C$6),COUNTIF($C$7:C418,'Tenant Statement'!$C$6),"")</f>
        <v/>
      </c>
    </row>
    <row r="419">
      <c r="B419" s="41" t="n"/>
      <c r="C419" s="18" t="n"/>
      <c r="D419" s="42">
        <f>IF(C419="","",IFERROR(INDEX(TenantProperty,MATCH(C419,Tenants,0)),""))</f>
        <v/>
      </c>
      <c r="E419" s="42">
        <f>IF(C419="","",IFERROR(INDEX(TenantUnit,MATCH(C419,Tenants,0)),""))</f>
        <v/>
      </c>
      <c r="F419" s="18" t="n"/>
      <c r="G419" s="18" t="n"/>
      <c r="H419" s="18" t="n"/>
      <c r="I419" s="18" t="n"/>
      <c r="J419" s="37" t="n"/>
      <c r="K419" s="37" t="n"/>
      <c r="L419" s="43">
        <f>IF(C419="","",SUMIFS($J$7:J419,$C$7:C419,C419)-SUMIFS($K$7:K419,$C$7:C419,C419))</f>
        <v/>
      </c>
      <c r="N419">
        <f>IF(AND(C419&lt;&gt;"",C419='Tenant Statement'!$C$6),COUNTIF($C$7:C419,'Tenant Statement'!$C$6),"")</f>
        <v/>
      </c>
    </row>
    <row r="420">
      <c r="B420" s="41" t="n"/>
      <c r="C420" s="18" t="n"/>
      <c r="D420" s="42">
        <f>IF(C420="","",IFERROR(INDEX(TenantProperty,MATCH(C420,Tenants,0)),""))</f>
        <v/>
      </c>
      <c r="E420" s="42">
        <f>IF(C420="","",IFERROR(INDEX(TenantUnit,MATCH(C420,Tenants,0)),""))</f>
        <v/>
      </c>
      <c r="F420" s="18" t="n"/>
      <c r="G420" s="18" t="n"/>
      <c r="H420" s="18" t="n"/>
      <c r="I420" s="18" t="n"/>
      <c r="J420" s="37" t="n"/>
      <c r="K420" s="37" t="n"/>
      <c r="L420" s="43">
        <f>IF(C420="","",SUMIFS($J$7:J420,$C$7:C420,C420)-SUMIFS($K$7:K420,$C$7:C420,C420))</f>
        <v/>
      </c>
      <c r="N420">
        <f>IF(AND(C420&lt;&gt;"",C420='Tenant Statement'!$C$6),COUNTIF($C$7:C420,'Tenant Statement'!$C$6),"")</f>
        <v/>
      </c>
    </row>
    <row r="421">
      <c r="B421" s="41" t="n"/>
      <c r="C421" s="18" t="n"/>
      <c r="D421" s="42">
        <f>IF(C421="","",IFERROR(INDEX(TenantProperty,MATCH(C421,Tenants,0)),""))</f>
        <v/>
      </c>
      <c r="E421" s="42">
        <f>IF(C421="","",IFERROR(INDEX(TenantUnit,MATCH(C421,Tenants,0)),""))</f>
        <v/>
      </c>
      <c r="F421" s="18" t="n"/>
      <c r="G421" s="18" t="n"/>
      <c r="H421" s="18" t="n"/>
      <c r="I421" s="18" t="n"/>
      <c r="J421" s="37" t="n"/>
      <c r="K421" s="37" t="n"/>
      <c r="L421" s="43">
        <f>IF(C421="","",SUMIFS($J$7:J421,$C$7:C421,C421)-SUMIFS($K$7:K421,$C$7:C421,C421))</f>
        <v/>
      </c>
      <c r="N421">
        <f>IF(AND(C421&lt;&gt;"",C421='Tenant Statement'!$C$6),COUNTIF($C$7:C421,'Tenant Statement'!$C$6),"")</f>
        <v/>
      </c>
    </row>
    <row r="422">
      <c r="B422" s="41" t="n"/>
      <c r="C422" s="18" t="n"/>
      <c r="D422" s="42">
        <f>IF(C422="","",IFERROR(INDEX(TenantProperty,MATCH(C422,Tenants,0)),""))</f>
        <v/>
      </c>
      <c r="E422" s="42">
        <f>IF(C422="","",IFERROR(INDEX(TenantUnit,MATCH(C422,Tenants,0)),""))</f>
        <v/>
      </c>
      <c r="F422" s="18" t="n"/>
      <c r="G422" s="18" t="n"/>
      <c r="H422" s="18" t="n"/>
      <c r="I422" s="18" t="n"/>
      <c r="J422" s="37" t="n"/>
      <c r="K422" s="37" t="n"/>
      <c r="L422" s="43">
        <f>IF(C422="","",SUMIFS($J$7:J422,$C$7:C422,C422)-SUMIFS($K$7:K422,$C$7:C422,C422))</f>
        <v/>
      </c>
      <c r="N422">
        <f>IF(AND(C422&lt;&gt;"",C422='Tenant Statement'!$C$6),COUNTIF($C$7:C422,'Tenant Statement'!$C$6),"")</f>
        <v/>
      </c>
    </row>
    <row r="423">
      <c r="B423" s="41" t="n"/>
      <c r="C423" s="18" t="n"/>
      <c r="D423" s="42">
        <f>IF(C423="","",IFERROR(INDEX(TenantProperty,MATCH(C423,Tenants,0)),""))</f>
        <v/>
      </c>
      <c r="E423" s="42">
        <f>IF(C423="","",IFERROR(INDEX(TenantUnit,MATCH(C423,Tenants,0)),""))</f>
        <v/>
      </c>
      <c r="F423" s="18" t="n"/>
      <c r="G423" s="18" t="n"/>
      <c r="H423" s="18" t="n"/>
      <c r="I423" s="18" t="n"/>
      <c r="J423" s="37" t="n"/>
      <c r="K423" s="37" t="n"/>
      <c r="L423" s="43">
        <f>IF(C423="","",SUMIFS($J$7:J423,$C$7:C423,C423)-SUMIFS($K$7:K423,$C$7:C423,C423))</f>
        <v/>
      </c>
      <c r="N423">
        <f>IF(AND(C423&lt;&gt;"",C423='Tenant Statement'!$C$6),COUNTIF($C$7:C423,'Tenant Statement'!$C$6),"")</f>
        <v/>
      </c>
    </row>
    <row r="424">
      <c r="B424" s="41" t="n"/>
      <c r="C424" s="18" t="n"/>
      <c r="D424" s="42">
        <f>IF(C424="","",IFERROR(INDEX(TenantProperty,MATCH(C424,Tenants,0)),""))</f>
        <v/>
      </c>
      <c r="E424" s="42">
        <f>IF(C424="","",IFERROR(INDEX(TenantUnit,MATCH(C424,Tenants,0)),""))</f>
        <v/>
      </c>
      <c r="F424" s="18" t="n"/>
      <c r="G424" s="18" t="n"/>
      <c r="H424" s="18" t="n"/>
      <c r="I424" s="18" t="n"/>
      <c r="J424" s="37" t="n"/>
      <c r="K424" s="37" t="n"/>
      <c r="L424" s="43">
        <f>IF(C424="","",SUMIFS($J$7:J424,$C$7:C424,C424)-SUMIFS($K$7:K424,$C$7:C424,C424))</f>
        <v/>
      </c>
      <c r="N424">
        <f>IF(AND(C424&lt;&gt;"",C424='Tenant Statement'!$C$6),COUNTIF($C$7:C424,'Tenant Statement'!$C$6),"")</f>
        <v/>
      </c>
    </row>
    <row r="425">
      <c r="B425" s="41" t="n"/>
      <c r="C425" s="18" t="n"/>
      <c r="D425" s="42">
        <f>IF(C425="","",IFERROR(INDEX(TenantProperty,MATCH(C425,Tenants,0)),""))</f>
        <v/>
      </c>
      <c r="E425" s="42">
        <f>IF(C425="","",IFERROR(INDEX(TenantUnit,MATCH(C425,Tenants,0)),""))</f>
        <v/>
      </c>
      <c r="F425" s="18" t="n"/>
      <c r="G425" s="18" t="n"/>
      <c r="H425" s="18" t="n"/>
      <c r="I425" s="18" t="n"/>
      <c r="J425" s="37" t="n"/>
      <c r="K425" s="37" t="n"/>
      <c r="L425" s="43">
        <f>IF(C425="","",SUMIFS($J$7:J425,$C$7:C425,C425)-SUMIFS($K$7:K425,$C$7:C425,C425))</f>
        <v/>
      </c>
      <c r="N425">
        <f>IF(AND(C425&lt;&gt;"",C425='Tenant Statement'!$C$6),COUNTIF($C$7:C425,'Tenant Statement'!$C$6),"")</f>
        <v/>
      </c>
    </row>
    <row r="426">
      <c r="B426" s="41" t="n"/>
      <c r="C426" s="18" t="n"/>
      <c r="D426" s="42">
        <f>IF(C426="","",IFERROR(INDEX(TenantProperty,MATCH(C426,Tenants,0)),""))</f>
        <v/>
      </c>
      <c r="E426" s="42">
        <f>IF(C426="","",IFERROR(INDEX(TenantUnit,MATCH(C426,Tenants,0)),""))</f>
        <v/>
      </c>
      <c r="F426" s="18" t="n"/>
      <c r="G426" s="18" t="n"/>
      <c r="H426" s="18" t="n"/>
      <c r="I426" s="18" t="n"/>
      <c r="J426" s="37" t="n"/>
      <c r="K426" s="37" t="n"/>
      <c r="L426" s="43">
        <f>IF(C426="","",SUMIFS($J$7:J426,$C$7:C426,C426)-SUMIFS($K$7:K426,$C$7:C426,C426))</f>
        <v/>
      </c>
      <c r="N426">
        <f>IF(AND(C426&lt;&gt;"",C426='Tenant Statement'!$C$6),COUNTIF($C$7:C426,'Tenant Statement'!$C$6),"")</f>
        <v/>
      </c>
    </row>
    <row r="427">
      <c r="B427" s="41" t="n"/>
      <c r="C427" s="18" t="n"/>
      <c r="D427" s="42">
        <f>IF(C427="","",IFERROR(INDEX(TenantProperty,MATCH(C427,Tenants,0)),""))</f>
        <v/>
      </c>
      <c r="E427" s="42">
        <f>IF(C427="","",IFERROR(INDEX(TenantUnit,MATCH(C427,Tenants,0)),""))</f>
        <v/>
      </c>
      <c r="F427" s="18" t="n"/>
      <c r="G427" s="18" t="n"/>
      <c r="H427" s="18" t="n"/>
      <c r="I427" s="18" t="n"/>
      <c r="J427" s="37" t="n"/>
      <c r="K427" s="37" t="n"/>
      <c r="L427" s="43">
        <f>IF(C427="","",SUMIFS($J$7:J427,$C$7:C427,C427)-SUMIFS($K$7:K427,$C$7:C427,C427))</f>
        <v/>
      </c>
      <c r="N427">
        <f>IF(AND(C427&lt;&gt;"",C427='Tenant Statement'!$C$6),COUNTIF($C$7:C427,'Tenant Statement'!$C$6),"")</f>
        <v/>
      </c>
    </row>
    <row r="428">
      <c r="B428" s="41" t="n"/>
      <c r="C428" s="18" t="n"/>
      <c r="D428" s="42">
        <f>IF(C428="","",IFERROR(INDEX(TenantProperty,MATCH(C428,Tenants,0)),""))</f>
        <v/>
      </c>
      <c r="E428" s="42">
        <f>IF(C428="","",IFERROR(INDEX(TenantUnit,MATCH(C428,Tenants,0)),""))</f>
        <v/>
      </c>
      <c r="F428" s="18" t="n"/>
      <c r="G428" s="18" t="n"/>
      <c r="H428" s="18" t="n"/>
      <c r="I428" s="18" t="n"/>
      <c r="J428" s="37" t="n"/>
      <c r="K428" s="37" t="n"/>
      <c r="L428" s="43">
        <f>IF(C428="","",SUMIFS($J$7:J428,$C$7:C428,C428)-SUMIFS($K$7:K428,$C$7:C428,C428))</f>
        <v/>
      </c>
      <c r="N428">
        <f>IF(AND(C428&lt;&gt;"",C428='Tenant Statement'!$C$6),COUNTIF($C$7:C428,'Tenant Statement'!$C$6),"")</f>
        <v/>
      </c>
    </row>
    <row r="429">
      <c r="B429" s="41" t="n"/>
      <c r="C429" s="18" t="n"/>
      <c r="D429" s="42">
        <f>IF(C429="","",IFERROR(INDEX(TenantProperty,MATCH(C429,Tenants,0)),""))</f>
        <v/>
      </c>
      <c r="E429" s="42">
        <f>IF(C429="","",IFERROR(INDEX(TenantUnit,MATCH(C429,Tenants,0)),""))</f>
        <v/>
      </c>
      <c r="F429" s="18" t="n"/>
      <c r="G429" s="18" t="n"/>
      <c r="H429" s="18" t="n"/>
      <c r="I429" s="18" t="n"/>
      <c r="J429" s="37" t="n"/>
      <c r="K429" s="37" t="n"/>
      <c r="L429" s="43">
        <f>IF(C429="","",SUMIFS($J$7:J429,$C$7:C429,C429)-SUMIFS($K$7:K429,$C$7:C429,C429))</f>
        <v/>
      </c>
      <c r="N429">
        <f>IF(AND(C429&lt;&gt;"",C429='Tenant Statement'!$C$6),COUNTIF($C$7:C429,'Tenant Statement'!$C$6),"")</f>
        <v/>
      </c>
    </row>
    <row r="430">
      <c r="B430" s="41" t="n"/>
      <c r="C430" s="18" t="n"/>
      <c r="D430" s="42">
        <f>IF(C430="","",IFERROR(INDEX(TenantProperty,MATCH(C430,Tenants,0)),""))</f>
        <v/>
      </c>
      <c r="E430" s="42">
        <f>IF(C430="","",IFERROR(INDEX(TenantUnit,MATCH(C430,Tenants,0)),""))</f>
        <v/>
      </c>
      <c r="F430" s="18" t="n"/>
      <c r="G430" s="18" t="n"/>
      <c r="H430" s="18" t="n"/>
      <c r="I430" s="18" t="n"/>
      <c r="J430" s="37" t="n"/>
      <c r="K430" s="37" t="n"/>
      <c r="L430" s="43">
        <f>IF(C430="","",SUMIFS($J$7:J430,$C$7:C430,C430)-SUMIFS($K$7:K430,$C$7:C430,C430))</f>
        <v/>
      </c>
      <c r="N430">
        <f>IF(AND(C430&lt;&gt;"",C430='Tenant Statement'!$C$6),COUNTIF($C$7:C430,'Tenant Statement'!$C$6),"")</f>
        <v/>
      </c>
    </row>
    <row r="431">
      <c r="B431" s="41" t="n"/>
      <c r="C431" s="18" t="n"/>
      <c r="D431" s="42">
        <f>IF(C431="","",IFERROR(INDEX(TenantProperty,MATCH(C431,Tenants,0)),""))</f>
        <v/>
      </c>
      <c r="E431" s="42">
        <f>IF(C431="","",IFERROR(INDEX(TenantUnit,MATCH(C431,Tenants,0)),""))</f>
        <v/>
      </c>
      <c r="F431" s="18" t="n"/>
      <c r="G431" s="18" t="n"/>
      <c r="H431" s="18" t="n"/>
      <c r="I431" s="18" t="n"/>
      <c r="J431" s="37" t="n"/>
      <c r="K431" s="37" t="n"/>
      <c r="L431" s="43">
        <f>IF(C431="","",SUMIFS($J$7:J431,$C$7:C431,C431)-SUMIFS($K$7:K431,$C$7:C431,C431))</f>
        <v/>
      </c>
      <c r="N431">
        <f>IF(AND(C431&lt;&gt;"",C431='Tenant Statement'!$C$6),COUNTIF($C$7:C431,'Tenant Statement'!$C$6),"")</f>
        <v/>
      </c>
    </row>
    <row r="432">
      <c r="B432" s="41" t="n"/>
      <c r="C432" s="18" t="n"/>
      <c r="D432" s="42">
        <f>IF(C432="","",IFERROR(INDEX(TenantProperty,MATCH(C432,Tenants,0)),""))</f>
        <v/>
      </c>
      <c r="E432" s="42">
        <f>IF(C432="","",IFERROR(INDEX(TenantUnit,MATCH(C432,Tenants,0)),""))</f>
        <v/>
      </c>
      <c r="F432" s="18" t="n"/>
      <c r="G432" s="18" t="n"/>
      <c r="H432" s="18" t="n"/>
      <c r="I432" s="18" t="n"/>
      <c r="J432" s="37" t="n"/>
      <c r="K432" s="37" t="n"/>
      <c r="L432" s="43">
        <f>IF(C432="","",SUMIFS($J$7:J432,$C$7:C432,C432)-SUMIFS($K$7:K432,$C$7:C432,C432))</f>
        <v/>
      </c>
      <c r="N432">
        <f>IF(AND(C432&lt;&gt;"",C432='Tenant Statement'!$C$6),COUNTIF($C$7:C432,'Tenant Statement'!$C$6),"")</f>
        <v/>
      </c>
    </row>
    <row r="433">
      <c r="B433" s="41" t="n"/>
      <c r="C433" s="18" t="n"/>
      <c r="D433" s="42">
        <f>IF(C433="","",IFERROR(INDEX(TenantProperty,MATCH(C433,Tenants,0)),""))</f>
        <v/>
      </c>
      <c r="E433" s="42">
        <f>IF(C433="","",IFERROR(INDEX(TenantUnit,MATCH(C433,Tenants,0)),""))</f>
        <v/>
      </c>
      <c r="F433" s="18" t="n"/>
      <c r="G433" s="18" t="n"/>
      <c r="H433" s="18" t="n"/>
      <c r="I433" s="18" t="n"/>
      <c r="J433" s="37" t="n"/>
      <c r="K433" s="37" t="n"/>
      <c r="L433" s="43">
        <f>IF(C433="","",SUMIFS($J$7:J433,$C$7:C433,C433)-SUMIFS($K$7:K433,$C$7:C433,C433))</f>
        <v/>
      </c>
      <c r="N433">
        <f>IF(AND(C433&lt;&gt;"",C433='Tenant Statement'!$C$6),COUNTIF($C$7:C433,'Tenant Statement'!$C$6),"")</f>
        <v/>
      </c>
    </row>
    <row r="434">
      <c r="B434" s="41" t="n"/>
      <c r="C434" s="18" t="n"/>
      <c r="D434" s="42">
        <f>IF(C434="","",IFERROR(INDEX(TenantProperty,MATCH(C434,Tenants,0)),""))</f>
        <v/>
      </c>
      <c r="E434" s="42">
        <f>IF(C434="","",IFERROR(INDEX(TenantUnit,MATCH(C434,Tenants,0)),""))</f>
        <v/>
      </c>
      <c r="F434" s="18" t="n"/>
      <c r="G434" s="18" t="n"/>
      <c r="H434" s="18" t="n"/>
      <c r="I434" s="18" t="n"/>
      <c r="J434" s="37" t="n"/>
      <c r="K434" s="37" t="n"/>
      <c r="L434" s="43">
        <f>IF(C434="","",SUMIFS($J$7:J434,$C$7:C434,C434)-SUMIFS($K$7:K434,$C$7:C434,C434))</f>
        <v/>
      </c>
      <c r="N434">
        <f>IF(AND(C434&lt;&gt;"",C434='Tenant Statement'!$C$6),COUNTIF($C$7:C434,'Tenant Statement'!$C$6),"")</f>
        <v/>
      </c>
    </row>
    <row r="435">
      <c r="B435" s="41" t="n"/>
      <c r="C435" s="18" t="n"/>
      <c r="D435" s="42">
        <f>IF(C435="","",IFERROR(INDEX(TenantProperty,MATCH(C435,Tenants,0)),""))</f>
        <v/>
      </c>
      <c r="E435" s="42">
        <f>IF(C435="","",IFERROR(INDEX(TenantUnit,MATCH(C435,Tenants,0)),""))</f>
        <v/>
      </c>
      <c r="F435" s="18" t="n"/>
      <c r="G435" s="18" t="n"/>
      <c r="H435" s="18" t="n"/>
      <c r="I435" s="18" t="n"/>
      <c r="J435" s="37" t="n"/>
      <c r="K435" s="37" t="n"/>
      <c r="L435" s="43">
        <f>IF(C435="","",SUMIFS($J$7:J435,$C$7:C435,C435)-SUMIFS($K$7:K435,$C$7:C435,C435))</f>
        <v/>
      </c>
      <c r="N435">
        <f>IF(AND(C435&lt;&gt;"",C435='Tenant Statement'!$C$6),COUNTIF($C$7:C435,'Tenant Statement'!$C$6),"")</f>
        <v/>
      </c>
    </row>
    <row r="436">
      <c r="B436" s="41" t="n"/>
      <c r="C436" s="18" t="n"/>
      <c r="D436" s="42">
        <f>IF(C436="","",IFERROR(INDEX(TenantProperty,MATCH(C436,Tenants,0)),""))</f>
        <v/>
      </c>
      <c r="E436" s="42">
        <f>IF(C436="","",IFERROR(INDEX(TenantUnit,MATCH(C436,Tenants,0)),""))</f>
        <v/>
      </c>
      <c r="F436" s="18" t="n"/>
      <c r="G436" s="18" t="n"/>
      <c r="H436" s="18" t="n"/>
      <c r="I436" s="18" t="n"/>
      <c r="J436" s="37" t="n"/>
      <c r="K436" s="37" t="n"/>
      <c r="L436" s="43">
        <f>IF(C436="","",SUMIFS($J$7:J436,$C$7:C436,C436)-SUMIFS($K$7:K436,$C$7:C436,C436))</f>
        <v/>
      </c>
      <c r="N436">
        <f>IF(AND(C436&lt;&gt;"",C436='Tenant Statement'!$C$6),COUNTIF($C$7:C436,'Tenant Statement'!$C$6),"")</f>
        <v/>
      </c>
    </row>
    <row r="437">
      <c r="B437" s="41" t="n"/>
      <c r="C437" s="18" t="n"/>
      <c r="D437" s="42">
        <f>IF(C437="","",IFERROR(INDEX(TenantProperty,MATCH(C437,Tenants,0)),""))</f>
        <v/>
      </c>
      <c r="E437" s="42">
        <f>IF(C437="","",IFERROR(INDEX(TenantUnit,MATCH(C437,Tenants,0)),""))</f>
        <v/>
      </c>
      <c r="F437" s="18" t="n"/>
      <c r="G437" s="18" t="n"/>
      <c r="H437" s="18" t="n"/>
      <c r="I437" s="18" t="n"/>
      <c r="J437" s="37" t="n"/>
      <c r="K437" s="37" t="n"/>
      <c r="L437" s="43">
        <f>IF(C437="","",SUMIFS($J$7:J437,$C$7:C437,C437)-SUMIFS($K$7:K437,$C$7:C437,C437))</f>
        <v/>
      </c>
      <c r="N437">
        <f>IF(AND(C437&lt;&gt;"",C437='Tenant Statement'!$C$6),COUNTIF($C$7:C437,'Tenant Statement'!$C$6),"")</f>
        <v/>
      </c>
    </row>
    <row r="438">
      <c r="B438" s="41" t="n"/>
      <c r="C438" s="18" t="n"/>
      <c r="D438" s="42">
        <f>IF(C438="","",IFERROR(INDEX(TenantProperty,MATCH(C438,Tenants,0)),""))</f>
        <v/>
      </c>
      <c r="E438" s="42">
        <f>IF(C438="","",IFERROR(INDEX(TenantUnit,MATCH(C438,Tenants,0)),""))</f>
        <v/>
      </c>
      <c r="F438" s="18" t="n"/>
      <c r="G438" s="18" t="n"/>
      <c r="H438" s="18" t="n"/>
      <c r="I438" s="18" t="n"/>
      <c r="J438" s="37" t="n"/>
      <c r="K438" s="37" t="n"/>
      <c r="L438" s="43">
        <f>IF(C438="","",SUMIFS($J$7:J438,$C$7:C438,C438)-SUMIFS($K$7:K438,$C$7:C438,C438))</f>
        <v/>
      </c>
      <c r="N438">
        <f>IF(AND(C438&lt;&gt;"",C438='Tenant Statement'!$C$6),COUNTIF($C$7:C438,'Tenant Statement'!$C$6),"")</f>
        <v/>
      </c>
    </row>
    <row r="439">
      <c r="B439" s="41" t="n"/>
      <c r="C439" s="18" t="n"/>
      <c r="D439" s="42">
        <f>IF(C439="","",IFERROR(INDEX(TenantProperty,MATCH(C439,Tenants,0)),""))</f>
        <v/>
      </c>
      <c r="E439" s="42">
        <f>IF(C439="","",IFERROR(INDEX(TenantUnit,MATCH(C439,Tenants,0)),""))</f>
        <v/>
      </c>
      <c r="F439" s="18" t="n"/>
      <c r="G439" s="18" t="n"/>
      <c r="H439" s="18" t="n"/>
      <c r="I439" s="18" t="n"/>
      <c r="J439" s="37" t="n"/>
      <c r="K439" s="37" t="n"/>
      <c r="L439" s="43">
        <f>IF(C439="","",SUMIFS($J$7:J439,$C$7:C439,C439)-SUMIFS($K$7:K439,$C$7:C439,C439))</f>
        <v/>
      </c>
      <c r="N439">
        <f>IF(AND(C439&lt;&gt;"",C439='Tenant Statement'!$C$6),COUNTIF($C$7:C439,'Tenant Statement'!$C$6),"")</f>
        <v/>
      </c>
    </row>
    <row r="440">
      <c r="B440" s="41" t="n"/>
      <c r="C440" s="18" t="n"/>
      <c r="D440" s="42">
        <f>IF(C440="","",IFERROR(INDEX(TenantProperty,MATCH(C440,Tenants,0)),""))</f>
        <v/>
      </c>
      <c r="E440" s="42">
        <f>IF(C440="","",IFERROR(INDEX(TenantUnit,MATCH(C440,Tenants,0)),""))</f>
        <v/>
      </c>
      <c r="F440" s="18" t="n"/>
      <c r="G440" s="18" t="n"/>
      <c r="H440" s="18" t="n"/>
      <c r="I440" s="18" t="n"/>
      <c r="J440" s="37" t="n"/>
      <c r="K440" s="37" t="n"/>
      <c r="L440" s="43">
        <f>IF(C440="","",SUMIFS($J$7:J440,$C$7:C440,C440)-SUMIFS($K$7:K440,$C$7:C440,C440))</f>
        <v/>
      </c>
      <c r="N440">
        <f>IF(AND(C440&lt;&gt;"",C440='Tenant Statement'!$C$6),COUNTIF($C$7:C440,'Tenant Statement'!$C$6),"")</f>
        <v/>
      </c>
    </row>
    <row r="441">
      <c r="B441" s="41" t="n"/>
      <c r="C441" s="18" t="n"/>
      <c r="D441" s="42">
        <f>IF(C441="","",IFERROR(INDEX(TenantProperty,MATCH(C441,Tenants,0)),""))</f>
        <v/>
      </c>
      <c r="E441" s="42">
        <f>IF(C441="","",IFERROR(INDEX(TenantUnit,MATCH(C441,Tenants,0)),""))</f>
        <v/>
      </c>
      <c r="F441" s="18" t="n"/>
      <c r="G441" s="18" t="n"/>
      <c r="H441" s="18" t="n"/>
      <c r="I441" s="18" t="n"/>
      <c r="J441" s="37" t="n"/>
      <c r="K441" s="37" t="n"/>
      <c r="L441" s="43">
        <f>IF(C441="","",SUMIFS($J$7:J441,$C$7:C441,C441)-SUMIFS($K$7:K441,$C$7:C441,C441))</f>
        <v/>
      </c>
      <c r="N441">
        <f>IF(AND(C441&lt;&gt;"",C441='Tenant Statement'!$C$6),COUNTIF($C$7:C441,'Tenant Statement'!$C$6),"")</f>
        <v/>
      </c>
    </row>
    <row r="442">
      <c r="B442" s="41" t="n"/>
      <c r="C442" s="18" t="n"/>
      <c r="D442" s="42">
        <f>IF(C442="","",IFERROR(INDEX(TenantProperty,MATCH(C442,Tenants,0)),""))</f>
        <v/>
      </c>
      <c r="E442" s="42">
        <f>IF(C442="","",IFERROR(INDEX(TenantUnit,MATCH(C442,Tenants,0)),""))</f>
        <v/>
      </c>
      <c r="F442" s="18" t="n"/>
      <c r="G442" s="18" t="n"/>
      <c r="H442" s="18" t="n"/>
      <c r="I442" s="18" t="n"/>
      <c r="J442" s="37" t="n"/>
      <c r="K442" s="37" t="n"/>
      <c r="L442" s="43">
        <f>IF(C442="","",SUMIFS($J$7:J442,$C$7:C442,C442)-SUMIFS($K$7:K442,$C$7:C442,C442))</f>
        <v/>
      </c>
      <c r="N442">
        <f>IF(AND(C442&lt;&gt;"",C442='Tenant Statement'!$C$6),COUNTIF($C$7:C442,'Tenant Statement'!$C$6),"")</f>
        <v/>
      </c>
    </row>
    <row r="443">
      <c r="B443" s="41" t="n"/>
      <c r="C443" s="18" t="n"/>
      <c r="D443" s="42">
        <f>IF(C443="","",IFERROR(INDEX(TenantProperty,MATCH(C443,Tenants,0)),""))</f>
        <v/>
      </c>
      <c r="E443" s="42">
        <f>IF(C443="","",IFERROR(INDEX(TenantUnit,MATCH(C443,Tenants,0)),""))</f>
        <v/>
      </c>
      <c r="F443" s="18" t="n"/>
      <c r="G443" s="18" t="n"/>
      <c r="H443" s="18" t="n"/>
      <c r="I443" s="18" t="n"/>
      <c r="J443" s="37" t="n"/>
      <c r="K443" s="37" t="n"/>
      <c r="L443" s="43">
        <f>IF(C443="","",SUMIFS($J$7:J443,$C$7:C443,C443)-SUMIFS($K$7:K443,$C$7:C443,C443))</f>
        <v/>
      </c>
      <c r="N443">
        <f>IF(AND(C443&lt;&gt;"",C443='Tenant Statement'!$C$6),COUNTIF($C$7:C443,'Tenant Statement'!$C$6),"")</f>
        <v/>
      </c>
    </row>
    <row r="444">
      <c r="B444" s="41" t="n"/>
      <c r="C444" s="18" t="n"/>
      <c r="D444" s="42">
        <f>IF(C444="","",IFERROR(INDEX(TenantProperty,MATCH(C444,Tenants,0)),""))</f>
        <v/>
      </c>
      <c r="E444" s="42">
        <f>IF(C444="","",IFERROR(INDEX(TenantUnit,MATCH(C444,Tenants,0)),""))</f>
        <v/>
      </c>
      <c r="F444" s="18" t="n"/>
      <c r="G444" s="18" t="n"/>
      <c r="H444" s="18" t="n"/>
      <c r="I444" s="18" t="n"/>
      <c r="J444" s="37" t="n"/>
      <c r="K444" s="37" t="n"/>
      <c r="L444" s="43">
        <f>IF(C444="","",SUMIFS($J$7:J444,$C$7:C444,C444)-SUMIFS($K$7:K444,$C$7:C444,C444))</f>
        <v/>
      </c>
      <c r="N444">
        <f>IF(AND(C444&lt;&gt;"",C444='Tenant Statement'!$C$6),COUNTIF($C$7:C444,'Tenant Statement'!$C$6),"")</f>
        <v/>
      </c>
    </row>
    <row r="445">
      <c r="B445" s="41" t="n"/>
      <c r="C445" s="18" t="n"/>
      <c r="D445" s="42">
        <f>IF(C445="","",IFERROR(INDEX(TenantProperty,MATCH(C445,Tenants,0)),""))</f>
        <v/>
      </c>
      <c r="E445" s="42">
        <f>IF(C445="","",IFERROR(INDEX(TenantUnit,MATCH(C445,Tenants,0)),""))</f>
        <v/>
      </c>
      <c r="F445" s="18" t="n"/>
      <c r="G445" s="18" t="n"/>
      <c r="H445" s="18" t="n"/>
      <c r="I445" s="18" t="n"/>
      <c r="J445" s="37" t="n"/>
      <c r="K445" s="37" t="n"/>
      <c r="L445" s="43">
        <f>IF(C445="","",SUMIFS($J$7:J445,$C$7:C445,C445)-SUMIFS($K$7:K445,$C$7:C445,C445))</f>
        <v/>
      </c>
      <c r="N445">
        <f>IF(AND(C445&lt;&gt;"",C445='Tenant Statement'!$C$6),COUNTIF($C$7:C445,'Tenant Statement'!$C$6),"")</f>
        <v/>
      </c>
    </row>
    <row r="446">
      <c r="B446" s="41" t="n"/>
      <c r="C446" s="18" t="n"/>
      <c r="D446" s="42">
        <f>IF(C446="","",IFERROR(INDEX(TenantProperty,MATCH(C446,Tenants,0)),""))</f>
        <v/>
      </c>
      <c r="E446" s="42">
        <f>IF(C446="","",IFERROR(INDEX(TenantUnit,MATCH(C446,Tenants,0)),""))</f>
        <v/>
      </c>
      <c r="F446" s="18" t="n"/>
      <c r="G446" s="18" t="n"/>
      <c r="H446" s="18" t="n"/>
      <c r="I446" s="18" t="n"/>
      <c r="J446" s="37" t="n"/>
      <c r="K446" s="37" t="n"/>
      <c r="L446" s="43">
        <f>IF(C446="","",SUMIFS($J$7:J446,$C$7:C446,C446)-SUMIFS($K$7:K446,$C$7:C446,C446))</f>
        <v/>
      </c>
      <c r="N446">
        <f>IF(AND(C446&lt;&gt;"",C446='Tenant Statement'!$C$6),COUNTIF($C$7:C446,'Tenant Statement'!$C$6),"")</f>
        <v/>
      </c>
    </row>
    <row r="447">
      <c r="B447" s="41" t="n"/>
      <c r="C447" s="18" t="n"/>
      <c r="D447" s="42">
        <f>IF(C447="","",IFERROR(INDEX(TenantProperty,MATCH(C447,Tenants,0)),""))</f>
        <v/>
      </c>
      <c r="E447" s="42">
        <f>IF(C447="","",IFERROR(INDEX(TenantUnit,MATCH(C447,Tenants,0)),""))</f>
        <v/>
      </c>
      <c r="F447" s="18" t="n"/>
      <c r="G447" s="18" t="n"/>
      <c r="H447" s="18" t="n"/>
      <c r="I447" s="18" t="n"/>
      <c r="J447" s="37" t="n"/>
      <c r="K447" s="37" t="n"/>
      <c r="L447" s="43">
        <f>IF(C447="","",SUMIFS($J$7:J447,$C$7:C447,C447)-SUMIFS($K$7:K447,$C$7:C447,C447))</f>
        <v/>
      </c>
      <c r="N447">
        <f>IF(AND(C447&lt;&gt;"",C447='Tenant Statement'!$C$6),COUNTIF($C$7:C447,'Tenant Statement'!$C$6),"")</f>
        <v/>
      </c>
    </row>
    <row r="448">
      <c r="B448" s="41" t="n"/>
      <c r="C448" s="18" t="n"/>
      <c r="D448" s="42">
        <f>IF(C448="","",IFERROR(INDEX(TenantProperty,MATCH(C448,Tenants,0)),""))</f>
        <v/>
      </c>
      <c r="E448" s="42">
        <f>IF(C448="","",IFERROR(INDEX(TenantUnit,MATCH(C448,Tenants,0)),""))</f>
        <v/>
      </c>
      <c r="F448" s="18" t="n"/>
      <c r="G448" s="18" t="n"/>
      <c r="H448" s="18" t="n"/>
      <c r="I448" s="18" t="n"/>
      <c r="J448" s="37" t="n"/>
      <c r="K448" s="37" t="n"/>
      <c r="L448" s="43">
        <f>IF(C448="","",SUMIFS($J$7:J448,$C$7:C448,C448)-SUMIFS($K$7:K448,$C$7:C448,C448))</f>
        <v/>
      </c>
      <c r="N448">
        <f>IF(AND(C448&lt;&gt;"",C448='Tenant Statement'!$C$6),COUNTIF($C$7:C448,'Tenant Statement'!$C$6),"")</f>
        <v/>
      </c>
    </row>
    <row r="449">
      <c r="B449" s="41" t="n"/>
      <c r="C449" s="18" t="n"/>
      <c r="D449" s="42">
        <f>IF(C449="","",IFERROR(INDEX(TenantProperty,MATCH(C449,Tenants,0)),""))</f>
        <v/>
      </c>
      <c r="E449" s="42">
        <f>IF(C449="","",IFERROR(INDEX(TenantUnit,MATCH(C449,Tenants,0)),""))</f>
        <v/>
      </c>
      <c r="F449" s="18" t="n"/>
      <c r="G449" s="18" t="n"/>
      <c r="H449" s="18" t="n"/>
      <c r="I449" s="18" t="n"/>
      <c r="J449" s="37" t="n"/>
      <c r="K449" s="37" t="n"/>
      <c r="L449" s="43">
        <f>IF(C449="","",SUMIFS($J$7:J449,$C$7:C449,C449)-SUMIFS($K$7:K449,$C$7:C449,C449))</f>
        <v/>
      </c>
      <c r="N449">
        <f>IF(AND(C449&lt;&gt;"",C449='Tenant Statement'!$C$6),COUNTIF($C$7:C449,'Tenant Statement'!$C$6),"")</f>
        <v/>
      </c>
    </row>
    <row r="450">
      <c r="B450" s="41" t="n"/>
      <c r="C450" s="18" t="n"/>
      <c r="D450" s="42">
        <f>IF(C450="","",IFERROR(INDEX(TenantProperty,MATCH(C450,Tenants,0)),""))</f>
        <v/>
      </c>
      <c r="E450" s="42">
        <f>IF(C450="","",IFERROR(INDEX(TenantUnit,MATCH(C450,Tenants,0)),""))</f>
        <v/>
      </c>
      <c r="F450" s="18" t="n"/>
      <c r="G450" s="18" t="n"/>
      <c r="H450" s="18" t="n"/>
      <c r="I450" s="18" t="n"/>
      <c r="J450" s="37" t="n"/>
      <c r="K450" s="37" t="n"/>
      <c r="L450" s="43">
        <f>IF(C450="","",SUMIFS($J$7:J450,$C$7:C450,C450)-SUMIFS($K$7:K450,$C$7:C450,C450))</f>
        <v/>
      </c>
      <c r="N450">
        <f>IF(AND(C450&lt;&gt;"",C450='Tenant Statement'!$C$6),COUNTIF($C$7:C450,'Tenant Statement'!$C$6),"")</f>
        <v/>
      </c>
    </row>
    <row r="451">
      <c r="B451" s="41" t="n"/>
      <c r="C451" s="18" t="n"/>
      <c r="D451" s="42">
        <f>IF(C451="","",IFERROR(INDEX(TenantProperty,MATCH(C451,Tenants,0)),""))</f>
        <v/>
      </c>
      <c r="E451" s="42">
        <f>IF(C451="","",IFERROR(INDEX(TenantUnit,MATCH(C451,Tenants,0)),""))</f>
        <v/>
      </c>
      <c r="F451" s="18" t="n"/>
      <c r="G451" s="18" t="n"/>
      <c r="H451" s="18" t="n"/>
      <c r="I451" s="18" t="n"/>
      <c r="J451" s="37" t="n"/>
      <c r="K451" s="37" t="n"/>
      <c r="L451" s="43">
        <f>IF(C451="","",SUMIFS($J$7:J451,$C$7:C451,C451)-SUMIFS($K$7:K451,$C$7:C451,C451))</f>
        <v/>
      </c>
      <c r="N451">
        <f>IF(AND(C451&lt;&gt;"",C451='Tenant Statement'!$C$6),COUNTIF($C$7:C451,'Tenant Statement'!$C$6),"")</f>
        <v/>
      </c>
    </row>
    <row r="452">
      <c r="B452" s="41" t="n"/>
      <c r="C452" s="18" t="n"/>
      <c r="D452" s="42">
        <f>IF(C452="","",IFERROR(INDEX(TenantProperty,MATCH(C452,Tenants,0)),""))</f>
        <v/>
      </c>
      <c r="E452" s="42">
        <f>IF(C452="","",IFERROR(INDEX(TenantUnit,MATCH(C452,Tenants,0)),""))</f>
        <v/>
      </c>
      <c r="F452" s="18" t="n"/>
      <c r="G452" s="18" t="n"/>
      <c r="H452" s="18" t="n"/>
      <c r="I452" s="18" t="n"/>
      <c r="J452" s="37" t="n"/>
      <c r="K452" s="37" t="n"/>
      <c r="L452" s="43">
        <f>IF(C452="","",SUMIFS($J$7:J452,$C$7:C452,C452)-SUMIFS($K$7:K452,$C$7:C452,C452))</f>
        <v/>
      </c>
      <c r="N452">
        <f>IF(AND(C452&lt;&gt;"",C452='Tenant Statement'!$C$6),COUNTIF($C$7:C452,'Tenant Statement'!$C$6),"")</f>
        <v/>
      </c>
    </row>
    <row r="453">
      <c r="B453" s="41" t="n"/>
      <c r="C453" s="18" t="n"/>
      <c r="D453" s="42">
        <f>IF(C453="","",IFERROR(INDEX(TenantProperty,MATCH(C453,Tenants,0)),""))</f>
        <v/>
      </c>
      <c r="E453" s="42">
        <f>IF(C453="","",IFERROR(INDEX(TenantUnit,MATCH(C453,Tenants,0)),""))</f>
        <v/>
      </c>
      <c r="F453" s="18" t="n"/>
      <c r="G453" s="18" t="n"/>
      <c r="H453" s="18" t="n"/>
      <c r="I453" s="18" t="n"/>
      <c r="J453" s="37" t="n"/>
      <c r="K453" s="37" t="n"/>
      <c r="L453" s="43">
        <f>IF(C453="","",SUMIFS($J$7:J453,$C$7:C453,C453)-SUMIFS($K$7:K453,$C$7:C453,C453))</f>
        <v/>
      </c>
      <c r="N453">
        <f>IF(AND(C453&lt;&gt;"",C453='Tenant Statement'!$C$6),COUNTIF($C$7:C453,'Tenant Statement'!$C$6),"")</f>
        <v/>
      </c>
    </row>
    <row r="454">
      <c r="B454" s="41" t="n"/>
      <c r="C454" s="18" t="n"/>
      <c r="D454" s="42">
        <f>IF(C454="","",IFERROR(INDEX(TenantProperty,MATCH(C454,Tenants,0)),""))</f>
        <v/>
      </c>
      <c r="E454" s="42">
        <f>IF(C454="","",IFERROR(INDEX(TenantUnit,MATCH(C454,Tenants,0)),""))</f>
        <v/>
      </c>
      <c r="F454" s="18" t="n"/>
      <c r="G454" s="18" t="n"/>
      <c r="H454" s="18" t="n"/>
      <c r="I454" s="18" t="n"/>
      <c r="J454" s="37" t="n"/>
      <c r="K454" s="37" t="n"/>
      <c r="L454" s="43">
        <f>IF(C454="","",SUMIFS($J$7:J454,$C$7:C454,C454)-SUMIFS($K$7:K454,$C$7:C454,C454))</f>
        <v/>
      </c>
      <c r="N454">
        <f>IF(AND(C454&lt;&gt;"",C454='Tenant Statement'!$C$6),COUNTIF($C$7:C454,'Tenant Statement'!$C$6),"")</f>
        <v/>
      </c>
    </row>
    <row r="455">
      <c r="B455" s="41" t="n"/>
      <c r="C455" s="18" t="n"/>
      <c r="D455" s="42">
        <f>IF(C455="","",IFERROR(INDEX(TenantProperty,MATCH(C455,Tenants,0)),""))</f>
        <v/>
      </c>
      <c r="E455" s="42">
        <f>IF(C455="","",IFERROR(INDEX(TenantUnit,MATCH(C455,Tenants,0)),""))</f>
        <v/>
      </c>
      <c r="F455" s="18" t="n"/>
      <c r="G455" s="18" t="n"/>
      <c r="H455" s="18" t="n"/>
      <c r="I455" s="18" t="n"/>
      <c r="J455" s="37" t="n"/>
      <c r="K455" s="37" t="n"/>
      <c r="L455" s="43">
        <f>IF(C455="","",SUMIFS($J$7:J455,$C$7:C455,C455)-SUMIFS($K$7:K455,$C$7:C455,C455))</f>
        <v/>
      </c>
      <c r="N455">
        <f>IF(AND(C455&lt;&gt;"",C455='Tenant Statement'!$C$6),COUNTIF($C$7:C455,'Tenant Statement'!$C$6),"")</f>
        <v/>
      </c>
    </row>
    <row r="456">
      <c r="B456" s="41" t="n"/>
      <c r="C456" s="18" t="n"/>
      <c r="D456" s="42">
        <f>IF(C456="","",IFERROR(INDEX(TenantProperty,MATCH(C456,Tenants,0)),""))</f>
        <v/>
      </c>
      <c r="E456" s="42">
        <f>IF(C456="","",IFERROR(INDEX(TenantUnit,MATCH(C456,Tenants,0)),""))</f>
        <v/>
      </c>
      <c r="F456" s="18" t="n"/>
      <c r="G456" s="18" t="n"/>
      <c r="H456" s="18" t="n"/>
      <c r="I456" s="18" t="n"/>
      <c r="J456" s="37" t="n"/>
      <c r="K456" s="37" t="n"/>
      <c r="L456" s="43">
        <f>IF(C456="","",SUMIFS($J$7:J456,$C$7:C456,C456)-SUMIFS($K$7:K456,$C$7:C456,C456))</f>
        <v/>
      </c>
      <c r="N456">
        <f>IF(AND(C456&lt;&gt;"",C456='Tenant Statement'!$C$6),COUNTIF($C$7:C456,'Tenant Statement'!$C$6),"")</f>
        <v/>
      </c>
    </row>
    <row r="457">
      <c r="B457" s="41" t="n"/>
      <c r="C457" s="18" t="n"/>
      <c r="D457" s="42">
        <f>IF(C457="","",IFERROR(INDEX(TenantProperty,MATCH(C457,Tenants,0)),""))</f>
        <v/>
      </c>
      <c r="E457" s="42">
        <f>IF(C457="","",IFERROR(INDEX(TenantUnit,MATCH(C457,Tenants,0)),""))</f>
        <v/>
      </c>
      <c r="F457" s="18" t="n"/>
      <c r="G457" s="18" t="n"/>
      <c r="H457" s="18" t="n"/>
      <c r="I457" s="18" t="n"/>
      <c r="J457" s="37" t="n"/>
      <c r="K457" s="37" t="n"/>
      <c r="L457" s="43">
        <f>IF(C457="","",SUMIFS($J$7:J457,$C$7:C457,C457)-SUMIFS($K$7:K457,$C$7:C457,C457))</f>
        <v/>
      </c>
      <c r="N457">
        <f>IF(AND(C457&lt;&gt;"",C457='Tenant Statement'!$C$6),COUNTIF($C$7:C457,'Tenant Statement'!$C$6),"")</f>
        <v/>
      </c>
    </row>
    <row r="458">
      <c r="B458" s="41" t="n"/>
      <c r="C458" s="18" t="n"/>
      <c r="D458" s="42">
        <f>IF(C458="","",IFERROR(INDEX(TenantProperty,MATCH(C458,Tenants,0)),""))</f>
        <v/>
      </c>
      <c r="E458" s="42">
        <f>IF(C458="","",IFERROR(INDEX(TenantUnit,MATCH(C458,Tenants,0)),""))</f>
        <v/>
      </c>
      <c r="F458" s="18" t="n"/>
      <c r="G458" s="18" t="n"/>
      <c r="H458" s="18" t="n"/>
      <c r="I458" s="18" t="n"/>
      <c r="J458" s="37" t="n"/>
      <c r="K458" s="37" t="n"/>
      <c r="L458" s="43">
        <f>IF(C458="","",SUMIFS($J$7:J458,$C$7:C458,C458)-SUMIFS($K$7:K458,$C$7:C458,C458))</f>
        <v/>
      </c>
      <c r="N458">
        <f>IF(AND(C458&lt;&gt;"",C458='Tenant Statement'!$C$6),COUNTIF($C$7:C458,'Tenant Statement'!$C$6),"")</f>
        <v/>
      </c>
    </row>
    <row r="459">
      <c r="B459" s="41" t="n"/>
      <c r="C459" s="18" t="n"/>
      <c r="D459" s="42">
        <f>IF(C459="","",IFERROR(INDEX(TenantProperty,MATCH(C459,Tenants,0)),""))</f>
        <v/>
      </c>
      <c r="E459" s="42">
        <f>IF(C459="","",IFERROR(INDEX(TenantUnit,MATCH(C459,Tenants,0)),""))</f>
        <v/>
      </c>
      <c r="F459" s="18" t="n"/>
      <c r="G459" s="18" t="n"/>
      <c r="H459" s="18" t="n"/>
      <c r="I459" s="18" t="n"/>
      <c r="J459" s="37" t="n"/>
      <c r="K459" s="37" t="n"/>
      <c r="L459" s="43">
        <f>IF(C459="","",SUMIFS($J$7:J459,$C$7:C459,C459)-SUMIFS($K$7:K459,$C$7:C459,C459))</f>
        <v/>
      </c>
      <c r="N459">
        <f>IF(AND(C459&lt;&gt;"",C459='Tenant Statement'!$C$6),COUNTIF($C$7:C459,'Tenant Statement'!$C$6),"")</f>
        <v/>
      </c>
    </row>
    <row r="460">
      <c r="B460" s="41" t="n"/>
      <c r="C460" s="18" t="n"/>
      <c r="D460" s="42">
        <f>IF(C460="","",IFERROR(INDEX(TenantProperty,MATCH(C460,Tenants,0)),""))</f>
        <v/>
      </c>
      <c r="E460" s="42">
        <f>IF(C460="","",IFERROR(INDEX(TenantUnit,MATCH(C460,Tenants,0)),""))</f>
        <v/>
      </c>
      <c r="F460" s="18" t="n"/>
      <c r="G460" s="18" t="n"/>
      <c r="H460" s="18" t="n"/>
      <c r="I460" s="18" t="n"/>
      <c r="J460" s="37" t="n"/>
      <c r="K460" s="37" t="n"/>
      <c r="L460" s="43">
        <f>IF(C460="","",SUMIFS($J$7:J460,$C$7:C460,C460)-SUMIFS($K$7:K460,$C$7:C460,C460))</f>
        <v/>
      </c>
      <c r="N460">
        <f>IF(AND(C460&lt;&gt;"",C460='Tenant Statement'!$C$6),COUNTIF($C$7:C460,'Tenant Statement'!$C$6),"")</f>
        <v/>
      </c>
    </row>
    <row r="461">
      <c r="B461" s="41" t="n"/>
      <c r="C461" s="18" t="n"/>
      <c r="D461" s="42">
        <f>IF(C461="","",IFERROR(INDEX(TenantProperty,MATCH(C461,Tenants,0)),""))</f>
        <v/>
      </c>
      <c r="E461" s="42">
        <f>IF(C461="","",IFERROR(INDEX(TenantUnit,MATCH(C461,Tenants,0)),""))</f>
        <v/>
      </c>
      <c r="F461" s="18" t="n"/>
      <c r="G461" s="18" t="n"/>
      <c r="H461" s="18" t="n"/>
      <c r="I461" s="18" t="n"/>
      <c r="J461" s="37" t="n"/>
      <c r="K461" s="37" t="n"/>
      <c r="L461" s="43">
        <f>IF(C461="","",SUMIFS($J$7:J461,$C$7:C461,C461)-SUMIFS($K$7:K461,$C$7:C461,C461))</f>
        <v/>
      </c>
      <c r="N461">
        <f>IF(AND(C461&lt;&gt;"",C461='Tenant Statement'!$C$6),COUNTIF($C$7:C461,'Tenant Statement'!$C$6),"")</f>
        <v/>
      </c>
    </row>
    <row r="462">
      <c r="B462" s="41" t="n"/>
      <c r="C462" s="18" t="n"/>
      <c r="D462" s="42">
        <f>IF(C462="","",IFERROR(INDEX(TenantProperty,MATCH(C462,Tenants,0)),""))</f>
        <v/>
      </c>
      <c r="E462" s="42">
        <f>IF(C462="","",IFERROR(INDEX(TenantUnit,MATCH(C462,Tenants,0)),""))</f>
        <v/>
      </c>
      <c r="F462" s="18" t="n"/>
      <c r="G462" s="18" t="n"/>
      <c r="H462" s="18" t="n"/>
      <c r="I462" s="18" t="n"/>
      <c r="J462" s="37" t="n"/>
      <c r="K462" s="37" t="n"/>
      <c r="L462" s="43">
        <f>IF(C462="","",SUMIFS($J$7:J462,$C$7:C462,C462)-SUMIFS($K$7:K462,$C$7:C462,C462))</f>
        <v/>
      </c>
      <c r="N462">
        <f>IF(AND(C462&lt;&gt;"",C462='Tenant Statement'!$C$6),COUNTIF($C$7:C462,'Tenant Statement'!$C$6),"")</f>
        <v/>
      </c>
    </row>
    <row r="463">
      <c r="B463" s="41" t="n"/>
      <c r="C463" s="18" t="n"/>
      <c r="D463" s="42">
        <f>IF(C463="","",IFERROR(INDEX(TenantProperty,MATCH(C463,Tenants,0)),""))</f>
        <v/>
      </c>
      <c r="E463" s="42">
        <f>IF(C463="","",IFERROR(INDEX(TenantUnit,MATCH(C463,Tenants,0)),""))</f>
        <v/>
      </c>
      <c r="F463" s="18" t="n"/>
      <c r="G463" s="18" t="n"/>
      <c r="H463" s="18" t="n"/>
      <c r="I463" s="18" t="n"/>
      <c r="J463" s="37" t="n"/>
      <c r="K463" s="37" t="n"/>
      <c r="L463" s="43">
        <f>IF(C463="","",SUMIFS($J$7:J463,$C$7:C463,C463)-SUMIFS($K$7:K463,$C$7:C463,C463))</f>
        <v/>
      </c>
      <c r="N463">
        <f>IF(AND(C463&lt;&gt;"",C463='Tenant Statement'!$C$6),COUNTIF($C$7:C463,'Tenant Statement'!$C$6),"")</f>
        <v/>
      </c>
    </row>
    <row r="464">
      <c r="B464" s="41" t="n"/>
      <c r="C464" s="18" t="n"/>
      <c r="D464" s="42">
        <f>IF(C464="","",IFERROR(INDEX(TenantProperty,MATCH(C464,Tenants,0)),""))</f>
        <v/>
      </c>
      <c r="E464" s="42">
        <f>IF(C464="","",IFERROR(INDEX(TenantUnit,MATCH(C464,Tenants,0)),""))</f>
        <v/>
      </c>
      <c r="F464" s="18" t="n"/>
      <c r="G464" s="18" t="n"/>
      <c r="H464" s="18" t="n"/>
      <c r="I464" s="18" t="n"/>
      <c r="J464" s="37" t="n"/>
      <c r="K464" s="37" t="n"/>
      <c r="L464" s="43">
        <f>IF(C464="","",SUMIFS($J$7:J464,$C$7:C464,C464)-SUMIFS($K$7:K464,$C$7:C464,C464))</f>
        <v/>
      </c>
      <c r="N464">
        <f>IF(AND(C464&lt;&gt;"",C464='Tenant Statement'!$C$6),COUNTIF($C$7:C464,'Tenant Statement'!$C$6),"")</f>
        <v/>
      </c>
    </row>
    <row r="465">
      <c r="B465" s="41" t="n"/>
      <c r="C465" s="18" t="n"/>
      <c r="D465" s="42">
        <f>IF(C465="","",IFERROR(INDEX(TenantProperty,MATCH(C465,Tenants,0)),""))</f>
        <v/>
      </c>
      <c r="E465" s="42">
        <f>IF(C465="","",IFERROR(INDEX(TenantUnit,MATCH(C465,Tenants,0)),""))</f>
        <v/>
      </c>
      <c r="F465" s="18" t="n"/>
      <c r="G465" s="18" t="n"/>
      <c r="H465" s="18" t="n"/>
      <c r="I465" s="18" t="n"/>
      <c r="J465" s="37" t="n"/>
      <c r="K465" s="37" t="n"/>
      <c r="L465" s="43">
        <f>IF(C465="","",SUMIFS($J$7:J465,$C$7:C465,C465)-SUMIFS($K$7:K465,$C$7:C465,C465))</f>
        <v/>
      </c>
      <c r="N465">
        <f>IF(AND(C465&lt;&gt;"",C465='Tenant Statement'!$C$6),COUNTIF($C$7:C465,'Tenant Statement'!$C$6),"")</f>
        <v/>
      </c>
    </row>
    <row r="466">
      <c r="B466" s="41" t="n"/>
      <c r="C466" s="18" t="n"/>
      <c r="D466" s="42">
        <f>IF(C466="","",IFERROR(INDEX(TenantProperty,MATCH(C466,Tenants,0)),""))</f>
        <v/>
      </c>
      <c r="E466" s="42">
        <f>IF(C466="","",IFERROR(INDEX(TenantUnit,MATCH(C466,Tenants,0)),""))</f>
        <v/>
      </c>
      <c r="F466" s="18" t="n"/>
      <c r="G466" s="18" t="n"/>
      <c r="H466" s="18" t="n"/>
      <c r="I466" s="18" t="n"/>
      <c r="J466" s="37" t="n"/>
      <c r="K466" s="37" t="n"/>
      <c r="L466" s="43">
        <f>IF(C466="","",SUMIFS($J$7:J466,$C$7:C466,C466)-SUMIFS($K$7:K466,$C$7:C466,C466))</f>
        <v/>
      </c>
      <c r="N466">
        <f>IF(AND(C466&lt;&gt;"",C466='Tenant Statement'!$C$6),COUNTIF($C$7:C466,'Tenant Statement'!$C$6),"")</f>
        <v/>
      </c>
    </row>
    <row r="467">
      <c r="B467" s="41" t="n"/>
      <c r="C467" s="18" t="n"/>
      <c r="D467" s="42">
        <f>IF(C467="","",IFERROR(INDEX(TenantProperty,MATCH(C467,Tenants,0)),""))</f>
        <v/>
      </c>
      <c r="E467" s="42">
        <f>IF(C467="","",IFERROR(INDEX(TenantUnit,MATCH(C467,Tenants,0)),""))</f>
        <v/>
      </c>
      <c r="F467" s="18" t="n"/>
      <c r="G467" s="18" t="n"/>
      <c r="H467" s="18" t="n"/>
      <c r="I467" s="18" t="n"/>
      <c r="J467" s="37" t="n"/>
      <c r="K467" s="37" t="n"/>
      <c r="L467" s="43">
        <f>IF(C467="","",SUMIFS($J$7:J467,$C$7:C467,C467)-SUMIFS($K$7:K467,$C$7:C467,C467))</f>
        <v/>
      </c>
      <c r="N467">
        <f>IF(AND(C467&lt;&gt;"",C467='Tenant Statement'!$C$6),COUNTIF($C$7:C467,'Tenant Statement'!$C$6),"")</f>
        <v/>
      </c>
    </row>
    <row r="468">
      <c r="B468" s="41" t="n"/>
      <c r="C468" s="18" t="n"/>
      <c r="D468" s="42">
        <f>IF(C468="","",IFERROR(INDEX(TenantProperty,MATCH(C468,Tenants,0)),""))</f>
        <v/>
      </c>
      <c r="E468" s="42">
        <f>IF(C468="","",IFERROR(INDEX(TenantUnit,MATCH(C468,Tenants,0)),""))</f>
        <v/>
      </c>
      <c r="F468" s="18" t="n"/>
      <c r="G468" s="18" t="n"/>
      <c r="H468" s="18" t="n"/>
      <c r="I468" s="18" t="n"/>
      <c r="J468" s="37" t="n"/>
      <c r="K468" s="37" t="n"/>
      <c r="L468" s="43">
        <f>IF(C468="","",SUMIFS($J$7:J468,$C$7:C468,C468)-SUMIFS($K$7:K468,$C$7:C468,C468))</f>
        <v/>
      </c>
      <c r="N468">
        <f>IF(AND(C468&lt;&gt;"",C468='Tenant Statement'!$C$6),COUNTIF($C$7:C468,'Tenant Statement'!$C$6),"")</f>
        <v/>
      </c>
    </row>
    <row r="469">
      <c r="B469" s="41" t="n"/>
      <c r="C469" s="18" t="n"/>
      <c r="D469" s="42">
        <f>IF(C469="","",IFERROR(INDEX(TenantProperty,MATCH(C469,Tenants,0)),""))</f>
        <v/>
      </c>
      <c r="E469" s="42">
        <f>IF(C469="","",IFERROR(INDEX(TenantUnit,MATCH(C469,Tenants,0)),""))</f>
        <v/>
      </c>
      <c r="F469" s="18" t="n"/>
      <c r="G469" s="18" t="n"/>
      <c r="H469" s="18" t="n"/>
      <c r="I469" s="18" t="n"/>
      <c r="J469" s="37" t="n"/>
      <c r="K469" s="37" t="n"/>
      <c r="L469" s="43">
        <f>IF(C469="","",SUMIFS($J$7:J469,$C$7:C469,C469)-SUMIFS($K$7:K469,$C$7:C469,C469))</f>
        <v/>
      </c>
      <c r="N469">
        <f>IF(AND(C469&lt;&gt;"",C469='Tenant Statement'!$C$6),COUNTIF($C$7:C469,'Tenant Statement'!$C$6),"")</f>
        <v/>
      </c>
    </row>
    <row r="470">
      <c r="B470" s="41" t="n"/>
      <c r="C470" s="18" t="n"/>
      <c r="D470" s="42">
        <f>IF(C470="","",IFERROR(INDEX(TenantProperty,MATCH(C470,Tenants,0)),""))</f>
        <v/>
      </c>
      <c r="E470" s="42">
        <f>IF(C470="","",IFERROR(INDEX(TenantUnit,MATCH(C470,Tenants,0)),""))</f>
        <v/>
      </c>
      <c r="F470" s="18" t="n"/>
      <c r="G470" s="18" t="n"/>
      <c r="H470" s="18" t="n"/>
      <c r="I470" s="18" t="n"/>
      <c r="J470" s="37" t="n"/>
      <c r="K470" s="37" t="n"/>
      <c r="L470" s="43">
        <f>IF(C470="","",SUMIFS($J$7:J470,$C$7:C470,C470)-SUMIFS($K$7:K470,$C$7:C470,C470))</f>
        <v/>
      </c>
      <c r="N470">
        <f>IF(AND(C470&lt;&gt;"",C470='Tenant Statement'!$C$6),COUNTIF($C$7:C470,'Tenant Statement'!$C$6),"")</f>
        <v/>
      </c>
    </row>
    <row r="471">
      <c r="B471" s="41" t="n"/>
      <c r="C471" s="18" t="n"/>
      <c r="D471" s="42">
        <f>IF(C471="","",IFERROR(INDEX(TenantProperty,MATCH(C471,Tenants,0)),""))</f>
        <v/>
      </c>
      <c r="E471" s="42">
        <f>IF(C471="","",IFERROR(INDEX(TenantUnit,MATCH(C471,Tenants,0)),""))</f>
        <v/>
      </c>
      <c r="F471" s="18" t="n"/>
      <c r="G471" s="18" t="n"/>
      <c r="H471" s="18" t="n"/>
      <c r="I471" s="18" t="n"/>
      <c r="J471" s="37" t="n"/>
      <c r="K471" s="37" t="n"/>
      <c r="L471" s="43">
        <f>IF(C471="","",SUMIFS($J$7:J471,$C$7:C471,C471)-SUMIFS($K$7:K471,$C$7:C471,C471))</f>
        <v/>
      </c>
      <c r="N471">
        <f>IF(AND(C471&lt;&gt;"",C471='Tenant Statement'!$C$6),COUNTIF($C$7:C471,'Tenant Statement'!$C$6),"")</f>
        <v/>
      </c>
    </row>
    <row r="472">
      <c r="B472" s="41" t="n"/>
      <c r="C472" s="18" t="n"/>
      <c r="D472" s="42">
        <f>IF(C472="","",IFERROR(INDEX(TenantProperty,MATCH(C472,Tenants,0)),""))</f>
        <v/>
      </c>
      <c r="E472" s="42">
        <f>IF(C472="","",IFERROR(INDEX(TenantUnit,MATCH(C472,Tenants,0)),""))</f>
        <v/>
      </c>
      <c r="F472" s="18" t="n"/>
      <c r="G472" s="18" t="n"/>
      <c r="H472" s="18" t="n"/>
      <c r="I472" s="18" t="n"/>
      <c r="J472" s="37" t="n"/>
      <c r="K472" s="37" t="n"/>
      <c r="L472" s="43">
        <f>IF(C472="","",SUMIFS($J$7:J472,$C$7:C472,C472)-SUMIFS($K$7:K472,$C$7:C472,C472))</f>
        <v/>
      </c>
      <c r="N472">
        <f>IF(AND(C472&lt;&gt;"",C472='Tenant Statement'!$C$6),COUNTIF($C$7:C472,'Tenant Statement'!$C$6),"")</f>
        <v/>
      </c>
    </row>
    <row r="473">
      <c r="B473" s="41" t="n"/>
      <c r="C473" s="18" t="n"/>
      <c r="D473" s="42">
        <f>IF(C473="","",IFERROR(INDEX(TenantProperty,MATCH(C473,Tenants,0)),""))</f>
        <v/>
      </c>
      <c r="E473" s="42">
        <f>IF(C473="","",IFERROR(INDEX(TenantUnit,MATCH(C473,Tenants,0)),""))</f>
        <v/>
      </c>
      <c r="F473" s="18" t="n"/>
      <c r="G473" s="18" t="n"/>
      <c r="H473" s="18" t="n"/>
      <c r="I473" s="18" t="n"/>
      <c r="J473" s="37" t="n"/>
      <c r="K473" s="37" t="n"/>
      <c r="L473" s="43">
        <f>IF(C473="","",SUMIFS($J$7:J473,$C$7:C473,C473)-SUMIFS($K$7:K473,$C$7:C473,C473))</f>
        <v/>
      </c>
      <c r="N473">
        <f>IF(AND(C473&lt;&gt;"",C473='Tenant Statement'!$C$6),COUNTIF($C$7:C473,'Tenant Statement'!$C$6),"")</f>
        <v/>
      </c>
    </row>
    <row r="474">
      <c r="B474" s="41" t="n"/>
      <c r="C474" s="18" t="n"/>
      <c r="D474" s="42">
        <f>IF(C474="","",IFERROR(INDEX(TenantProperty,MATCH(C474,Tenants,0)),""))</f>
        <v/>
      </c>
      <c r="E474" s="42">
        <f>IF(C474="","",IFERROR(INDEX(TenantUnit,MATCH(C474,Tenants,0)),""))</f>
        <v/>
      </c>
      <c r="F474" s="18" t="n"/>
      <c r="G474" s="18" t="n"/>
      <c r="H474" s="18" t="n"/>
      <c r="I474" s="18" t="n"/>
      <c r="J474" s="37" t="n"/>
      <c r="K474" s="37" t="n"/>
      <c r="L474" s="43">
        <f>IF(C474="","",SUMIFS($J$7:J474,$C$7:C474,C474)-SUMIFS($K$7:K474,$C$7:C474,C474))</f>
        <v/>
      </c>
      <c r="N474">
        <f>IF(AND(C474&lt;&gt;"",C474='Tenant Statement'!$C$6),COUNTIF($C$7:C474,'Tenant Statement'!$C$6),"")</f>
        <v/>
      </c>
    </row>
    <row r="475">
      <c r="B475" s="41" t="n"/>
      <c r="C475" s="18" t="n"/>
      <c r="D475" s="42">
        <f>IF(C475="","",IFERROR(INDEX(TenantProperty,MATCH(C475,Tenants,0)),""))</f>
        <v/>
      </c>
      <c r="E475" s="42">
        <f>IF(C475="","",IFERROR(INDEX(TenantUnit,MATCH(C475,Tenants,0)),""))</f>
        <v/>
      </c>
      <c r="F475" s="18" t="n"/>
      <c r="G475" s="18" t="n"/>
      <c r="H475" s="18" t="n"/>
      <c r="I475" s="18" t="n"/>
      <c r="J475" s="37" t="n"/>
      <c r="K475" s="37" t="n"/>
      <c r="L475" s="43">
        <f>IF(C475="","",SUMIFS($J$7:J475,$C$7:C475,C475)-SUMIFS($K$7:K475,$C$7:C475,C475))</f>
        <v/>
      </c>
      <c r="N475">
        <f>IF(AND(C475&lt;&gt;"",C475='Tenant Statement'!$C$6),COUNTIF($C$7:C475,'Tenant Statement'!$C$6),"")</f>
        <v/>
      </c>
    </row>
    <row r="476">
      <c r="B476" s="41" t="n"/>
      <c r="C476" s="18" t="n"/>
      <c r="D476" s="42">
        <f>IF(C476="","",IFERROR(INDEX(TenantProperty,MATCH(C476,Tenants,0)),""))</f>
        <v/>
      </c>
      <c r="E476" s="42">
        <f>IF(C476="","",IFERROR(INDEX(TenantUnit,MATCH(C476,Tenants,0)),""))</f>
        <v/>
      </c>
      <c r="F476" s="18" t="n"/>
      <c r="G476" s="18" t="n"/>
      <c r="H476" s="18" t="n"/>
      <c r="I476" s="18" t="n"/>
      <c r="J476" s="37" t="n"/>
      <c r="K476" s="37" t="n"/>
      <c r="L476" s="43">
        <f>IF(C476="","",SUMIFS($J$7:J476,$C$7:C476,C476)-SUMIFS($K$7:K476,$C$7:C476,C476))</f>
        <v/>
      </c>
      <c r="N476">
        <f>IF(AND(C476&lt;&gt;"",C476='Tenant Statement'!$C$6),COUNTIF($C$7:C476,'Tenant Statement'!$C$6),"")</f>
        <v/>
      </c>
    </row>
    <row r="477">
      <c r="B477" s="41" t="n"/>
      <c r="C477" s="18" t="n"/>
      <c r="D477" s="42">
        <f>IF(C477="","",IFERROR(INDEX(TenantProperty,MATCH(C477,Tenants,0)),""))</f>
        <v/>
      </c>
      <c r="E477" s="42">
        <f>IF(C477="","",IFERROR(INDEX(TenantUnit,MATCH(C477,Tenants,0)),""))</f>
        <v/>
      </c>
      <c r="F477" s="18" t="n"/>
      <c r="G477" s="18" t="n"/>
      <c r="H477" s="18" t="n"/>
      <c r="I477" s="18" t="n"/>
      <c r="J477" s="37" t="n"/>
      <c r="K477" s="37" t="n"/>
      <c r="L477" s="43">
        <f>IF(C477="","",SUMIFS($J$7:J477,$C$7:C477,C477)-SUMIFS($K$7:K477,$C$7:C477,C477))</f>
        <v/>
      </c>
      <c r="N477">
        <f>IF(AND(C477&lt;&gt;"",C477='Tenant Statement'!$C$6),COUNTIF($C$7:C477,'Tenant Statement'!$C$6),"")</f>
        <v/>
      </c>
    </row>
    <row r="478">
      <c r="B478" s="41" t="n"/>
      <c r="C478" s="18" t="n"/>
      <c r="D478" s="42">
        <f>IF(C478="","",IFERROR(INDEX(TenantProperty,MATCH(C478,Tenants,0)),""))</f>
        <v/>
      </c>
      <c r="E478" s="42">
        <f>IF(C478="","",IFERROR(INDEX(TenantUnit,MATCH(C478,Tenants,0)),""))</f>
        <v/>
      </c>
      <c r="F478" s="18" t="n"/>
      <c r="G478" s="18" t="n"/>
      <c r="H478" s="18" t="n"/>
      <c r="I478" s="18" t="n"/>
      <c r="J478" s="37" t="n"/>
      <c r="K478" s="37" t="n"/>
      <c r="L478" s="43">
        <f>IF(C478="","",SUMIFS($J$7:J478,$C$7:C478,C478)-SUMIFS($K$7:K478,$C$7:C478,C478))</f>
        <v/>
      </c>
      <c r="N478">
        <f>IF(AND(C478&lt;&gt;"",C478='Tenant Statement'!$C$6),COUNTIF($C$7:C478,'Tenant Statement'!$C$6),"")</f>
        <v/>
      </c>
    </row>
    <row r="479">
      <c r="B479" s="41" t="n"/>
      <c r="C479" s="18" t="n"/>
      <c r="D479" s="42">
        <f>IF(C479="","",IFERROR(INDEX(TenantProperty,MATCH(C479,Tenants,0)),""))</f>
        <v/>
      </c>
      <c r="E479" s="42">
        <f>IF(C479="","",IFERROR(INDEX(TenantUnit,MATCH(C479,Tenants,0)),""))</f>
        <v/>
      </c>
      <c r="F479" s="18" t="n"/>
      <c r="G479" s="18" t="n"/>
      <c r="H479" s="18" t="n"/>
      <c r="I479" s="18" t="n"/>
      <c r="J479" s="37" t="n"/>
      <c r="K479" s="37" t="n"/>
      <c r="L479" s="43">
        <f>IF(C479="","",SUMIFS($J$7:J479,$C$7:C479,C479)-SUMIFS($K$7:K479,$C$7:C479,C479))</f>
        <v/>
      </c>
      <c r="N479">
        <f>IF(AND(C479&lt;&gt;"",C479='Tenant Statement'!$C$6),COUNTIF($C$7:C479,'Tenant Statement'!$C$6),"")</f>
        <v/>
      </c>
    </row>
    <row r="480">
      <c r="B480" s="41" t="n"/>
      <c r="C480" s="18" t="n"/>
      <c r="D480" s="42">
        <f>IF(C480="","",IFERROR(INDEX(TenantProperty,MATCH(C480,Tenants,0)),""))</f>
        <v/>
      </c>
      <c r="E480" s="42">
        <f>IF(C480="","",IFERROR(INDEX(TenantUnit,MATCH(C480,Tenants,0)),""))</f>
        <v/>
      </c>
      <c r="F480" s="18" t="n"/>
      <c r="G480" s="18" t="n"/>
      <c r="H480" s="18" t="n"/>
      <c r="I480" s="18" t="n"/>
      <c r="J480" s="37" t="n"/>
      <c r="K480" s="37" t="n"/>
      <c r="L480" s="43">
        <f>IF(C480="","",SUMIFS($J$7:J480,$C$7:C480,C480)-SUMIFS($K$7:K480,$C$7:C480,C480))</f>
        <v/>
      </c>
      <c r="N480">
        <f>IF(AND(C480&lt;&gt;"",C480='Tenant Statement'!$C$6),COUNTIF($C$7:C480,'Tenant Statement'!$C$6),"")</f>
        <v/>
      </c>
    </row>
    <row r="481">
      <c r="B481" s="41" t="n"/>
      <c r="C481" s="18" t="n"/>
      <c r="D481" s="42">
        <f>IF(C481="","",IFERROR(INDEX(TenantProperty,MATCH(C481,Tenants,0)),""))</f>
        <v/>
      </c>
      <c r="E481" s="42">
        <f>IF(C481="","",IFERROR(INDEX(TenantUnit,MATCH(C481,Tenants,0)),""))</f>
        <v/>
      </c>
      <c r="F481" s="18" t="n"/>
      <c r="G481" s="18" t="n"/>
      <c r="H481" s="18" t="n"/>
      <c r="I481" s="18" t="n"/>
      <c r="J481" s="37" t="n"/>
      <c r="K481" s="37" t="n"/>
      <c r="L481" s="43">
        <f>IF(C481="","",SUMIFS($J$7:J481,$C$7:C481,C481)-SUMIFS($K$7:K481,$C$7:C481,C481))</f>
        <v/>
      </c>
      <c r="N481">
        <f>IF(AND(C481&lt;&gt;"",C481='Tenant Statement'!$C$6),COUNTIF($C$7:C481,'Tenant Statement'!$C$6),"")</f>
        <v/>
      </c>
    </row>
    <row r="482">
      <c r="B482" s="41" t="n"/>
      <c r="C482" s="18" t="n"/>
      <c r="D482" s="42">
        <f>IF(C482="","",IFERROR(INDEX(TenantProperty,MATCH(C482,Tenants,0)),""))</f>
        <v/>
      </c>
      <c r="E482" s="42">
        <f>IF(C482="","",IFERROR(INDEX(TenantUnit,MATCH(C482,Tenants,0)),""))</f>
        <v/>
      </c>
      <c r="F482" s="18" t="n"/>
      <c r="G482" s="18" t="n"/>
      <c r="H482" s="18" t="n"/>
      <c r="I482" s="18" t="n"/>
      <c r="J482" s="37" t="n"/>
      <c r="K482" s="37" t="n"/>
      <c r="L482" s="43">
        <f>IF(C482="","",SUMIFS($J$7:J482,$C$7:C482,C482)-SUMIFS($K$7:K482,$C$7:C482,C482))</f>
        <v/>
      </c>
      <c r="N482">
        <f>IF(AND(C482&lt;&gt;"",C482='Tenant Statement'!$C$6),COUNTIF($C$7:C482,'Tenant Statement'!$C$6),"")</f>
        <v/>
      </c>
    </row>
    <row r="483">
      <c r="B483" s="41" t="n"/>
      <c r="C483" s="18" t="n"/>
      <c r="D483" s="42">
        <f>IF(C483="","",IFERROR(INDEX(TenantProperty,MATCH(C483,Tenants,0)),""))</f>
        <v/>
      </c>
      <c r="E483" s="42">
        <f>IF(C483="","",IFERROR(INDEX(TenantUnit,MATCH(C483,Tenants,0)),""))</f>
        <v/>
      </c>
      <c r="F483" s="18" t="n"/>
      <c r="G483" s="18" t="n"/>
      <c r="H483" s="18" t="n"/>
      <c r="I483" s="18" t="n"/>
      <c r="J483" s="37" t="n"/>
      <c r="K483" s="37" t="n"/>
      <c r="L483" s="43">
        <f>IF(C483="","",SUMIFS($J$7:J483,$C$7:C483,C483)-SUMIFS($K$7:K483,$C$7:C483,C483))</f>
        <v/>
      </c>
      <c r="N483">
        <f>IF(AND(C483&lt;&gt;"",C483='Tenant Statement'!$C$6),COUNTIF($C$7:C483,'Tenant Statement'!$C$6),"")</f>
        <v/>
      </c>
    </row>
    <row r="484">
      <c r="B484" s="41" t="n"/>
      <c r="C484" s="18" t="n"/>
      <c r="D484" s="42">
        <f>IF(C484="","",IFERROR(INDEX(TenantProperty,MATCH(C484,Tenants,0)),""))</f>
        <v/>
      </c>
      <c r="E484" s="42">
        <f>IF(C484="","",IFERROR(INDEX(TenantUnit,MATCH(C484,Tenants,0)),""))</f>
        <v/>
      </c>
      <c r="F484" s="18" t="n"/>
      <c r="G484" s="18" t="n"/>
      <c r="H484" s="18" t="n"/>
      <c r="I484" s="18" t="n"/>
      <c r="J484" s="37" t="n"/>
      <c r="K484" s="37" t="n"/>
      <c r="L484" s="43">
        <f>IF(C484="","",SUMIFS($J$7:J484,$C$7:C484,C484)-SUMIFS($K$7:K484,$C$7:C484,C484))</f>
        <v/>
      </c>
      <c r="N484">
        <f>IF(AND(C484&lt;&gt;"",C484='Tenant Statement'!$C$6),COUNTIF($C$7:C484,'Tenant Statement'!$C$6),"")</f>
        <v/>
      </c>
    </row>
    <row r="485">
      <c r="B485" s="41" t="n"/>
      <c r="C485" s="18" t="n"/>
      <c r="D485" s="42">
        <f>IF(C485="","",IFERROR(INDEX(TenantProperty,MATCH(C485,Tenants,0)),""))</f>
        <v/>
      </c>
      <c r="E485" s="42">
        <f>IF(C485="","",IFERROR(INDEX(TenantUnit,MATCH(C485,Tenants,0)),""))</f>
        <v/>
      </c>
      <c r="F485" s="18" t="n"/>
      <c r="G485" s="18" t="n"/>
      <c r="H485" s="18" t="n"/>
      <c r="I485" s="18" t="n"/>
      <c r="J485" s="37" t="n"/>
      <c r="K485" s="37" t="n"/>
      <c r="L485" s="43">
        <f>IF(C485="","",SUMIFS($J$7:J485,$C$7:C485,C485)-SUMIFS($K$7:K485,$C$7:C485,C485))</f>
        <v/>
      </c>
      <c r="N485">
        <f>IF(AND(C485&lt;&gt;"",C485='Tenant Statement'!$C$6),COUNTIF($C$7:C485,'Tenant Statement'!$C$6),"")</f>
        <v/>
      </c>
    </row>
    <row r="486">
      <c r="B486" s="41" t="n"/>
      <c r="C486" s="18" t="n"/>
      <c r="D486" s="42">
        <f>IF(C486="","",IFERROR(INDEX(TenantProperty,MATCH(C486,Tenants,0)),""))</f>
        <v/>
      </c>
      <c r="E486" s="42">
        <f>IF(C486="","",IFERROR(INDEX(TenantUnit,MATCH(C486,Tenants,0)),""))</f>
        <v/>
      </c>
      <c r="F486" s="18" t="n"/>
      <c r="G486" s="18" t="n"/>
      <c r="H486" s="18" t="n"/>
      <c r="I486" s="18" t="n"/>
      <c r="J486" s="37" t="n"/>
      <c r="K486" s="37" t="n"/>
      <c r="L486" s="43">
        <f>IF(C486="","",SUMIFS($J$7:J486,$C$7:C486,C486)-SUMIFS($K$7:K486,$C$7:C486,C486))</f>
        <v/>
      </c>
      <c r="N486">
        <f>IF(AND(C486&lt;&gt;"",C486='Tenant Statement'!$C$6),COUNTIF($C$7:C486,'Tenant Statement'!$C$6),"")</f>
        <v/>
      </c>
    </row>
    <row r="487">
      <c r="B487" s="41" t="n"/>
      <c r="C487" s="18" t="n"/>
      <c r="D487" s="42">
        <f>IF(C487="","",IFERROR(INDEX(TenantProperty,MATCH(C487,Tenants,0)),""))</f>
        <v/>
      </c>
      <c r="E487" s="42">
        <f>IF(C487="","",IFERROR(INDEX(TenantUnit,MATCH(C487,Tenants,0)),""))</f>
        <v/>
      </c>
      <c r="F487" s="18" t="n"/>
      <c r="G487" s="18" t="n"/>
      <c r="H487" s="18" t="n"/>
      <c r="I487" s="18" t="n"/>
      <c r="J487" s="37" t="n"/>
      <c r="K487" s="37" t="n"/>
      <c r="L487" s="43">
        <f>IF(C487="","",SUMIFS($J$7:J487,$C$7:C487,C487)-SUMIFS($K$7:K487,$C$7:C487,C487))</f>
        <v/>
      </c>
      <c r="N487">
        <f>IF(AND(C487&lt;&gt;"",C487='Tenant Statement'!$C$6),COUNTIF($C$7:C487,'Tenant Statement'!$C$6),"")</f>
        <v/>
      </c>
    </row>
    <row r="488">
      <c r="B488" s="41" t="n"/>
      <c r="C488" s="18" t="n"/>
      <c r="D488" s="42">
        <f>IF(C488="","",IFERROR(INDEX(TenantProperty,MATCH(C488,Tenants,0)),""))</f>
        <v/>
      </c>
      <c r="E488" s="42">
        <f>IF(C488="","",IFERROR(INDEX(TenantUnit,MATCH(C488,Tenants,0)),""))</f>
        <v/>
      </c>
      <c r="F488" s="18" t="n"/>
      <c r="G488" s="18" t="n"/>
      <c r="H488" s="18" t="n"/>
      <c r="I488" s="18" t="n"/>
      <c r="J488" s="37" t="n"/>
      <c r="K488" s="37" t="n"/>
      <c r="L488" s="43">
        <f>IF(C488="","",SUMIFS($J$7:J488,$C$7:C488,C488)-SUMIFS($K$7:K488,$C$7:C488,C488))</f>
        <v/>
      </c>
      <c r="N488">
        <f>IF(AND(C488&lt;&gt;"",C488='Tenant Statement'!$C$6),COUNTIF($C$7:C488,'Tenant Statement'!$C$6),"")</f>
        <v/>
      </c>
    </row>
    <row r="489">
      <c r="B489" s="41" t="n"/>
      <c r="C489" s="18" t="n"/>
      <c r="D489" s="42">
        <f>IF(C489="","",IFERROR(INDEX(TenantProperty,MATCH(C489,Tenants,0)),""))</f>
        <v/>
      </c>
      <c r="E489" s="42">
        <f>IF(C489="","",IFERROR(INDEX(TenantUnit,MATCH(C489,Tenants,0)),""))</f>
        <v/>
      </c>
      <c r="F489" s="18" t="n"/>
      <c r="G489" s="18" t="n"/>
      <c r="H489" s="18" t="n"/>
      <c r="I489" s="18" t="n"/>
      <c r="J489" s="37" t="n"/>
      <c r="K489" s="37" t="n"/>
      <c r="L489" s="43">
        <f>IF(C489="","",SUMIFS($J$7:J489,$C$7:C489,C489)-SUMIFS($K$7:K489,$C$7:C489,C489))</f>
        <v/>
      </c>
      <c r="N489">
        <f>IF(AND(C489&lt;&gt;"",C489='Tenant Statement'!$C$6),COUNTIF($C$7:C489,'Tenant Statement'!$C$6),"")</f>
        <v/>
      </c>
    </row>
    <row r="490">
      <c r="B490" s="41" t="n"/>
      <c r="C490" s="18" t="n"/>
      <c r="D490" s="42">
        <f>IF(C490="","",IFERROR(INDEX(TenantProperty,MATCH(C490,Tenants,0)),""))</f>
        <v/>
      </c>
      <c r="E490" s="42">
        <f>IF(C490="","",IFERROR(INDEX(TenantUnit,MATCH(C490,Tenants,0)),""))</f>
        <v/>
      </c>
      <c r="F490" s="18" t="n"/>
      <c r="G490" s="18" t="n"/>
      <c r="H490" s="18" t="n"/>
      <c r="I490" s="18" t="n"/>
      <c r="J490" s="37" t="n"/>
      <c r="K490" s="37" t="n"/>
      <c r="L490" s="43">
        <f>IF(C490="","",SUMIFS($J$7:J490,$C$7:C490,C490)-SUMIFS($K$7:K490,$C$7:C490,C490))</f>
        <v/>
      </c>
      <c r="N490">
        <f>IF(AND(C490&lt;&gt;"",C490='Tenant Statement'!$C$6),COUNTIF($C$7:C490,'Tenant Statement'!$C$6),"")</f>
        <v/>
      </c>
    </row>
    <row r="491">
      <c r="B491" s="41" t="n"/>
      <c r="C491" s="18" t="n"/>
      <c r="D491" s="42">
        <f>IF(C491="","",IFERROR(INDEX(TenantProperty,MATCH(C491,Tenants,0)),""))</f>
        <v/>
      </c>
      <c r="E491" s="42">
        <f>IF(C491="","",IFERROR(INDEX(TenantUnit,MATCH(C491,Tenants,0)),""))</f>
        <v/>
      </c>
      <c r="F491" s="18" t="n"/>
      <c r="G491" s="18" t="n"/>
      <c r="H491" s="18" t="n"/>
      <c r="I491" s="18" t="n"/>
      <c r="J491" s="37" t="n"/>
      <c r="K491" s="37" t="n"/>
      <c r="L491" s="43">
        <f>IF(C491="","",SUMIFS($J$7:J491,$C$7:C491,C491)-SUMIFS($K$7:K491,$C$7:C491,C491))</f>
        <v/>
      </c>
      <c r="N491">
        <f>IF(AND(C491&lt;&gt;"",C491='Tenant Statement'!$C$6),COUNTIF($C$7:C491,'Tenant Statement'!$C$6),"")</f>
        <v/>
      </c>
    </row>
    <row r="492">
      <c r="B492" s="41" t="n"/>
      <c r="C492" s="18" t="n"/>
      <c r="D492" s="42">
        <f>IF(C492="","",IFERROR(INDEX(TenantProperty,MATCH(C492,Tenants,0)),""))</f>
        <v/>
      </c>
      <c r="E492" s="42">
        <f>IF(C492="","",IFERROR(INDEX(TenantUnit,MATCH(C492,Tenants,0)),""))</f>
        <v/>
      </c>
      <c r="F492" s="18" t="n"/>
      <c r="G492" s="18" t="n"/>
      <c r="H492" s="18" t="n"/>
      <c r="I492" s="18" t="n"/>
      <c r="J492" s="37" t="n"/>
      <c r="K492" s="37" t="n"/>
      <c r="L492" s="43">
        <f>IF(C492="","",SUMIFS($J$7:J492,$C$7:C492,C492)-SUMIFS($K$7:K492,$C$7:C492,C492))</f>
        <v/>
      </c>
      <c r="N492">
        <f>IF(AND(C492&lt;&gt;"",C492='Tenant Statement'!$C$6),COUNTIF($C$7:C492,'Tenant Statement'!$C$6),"")</f>
        <v/>
      </c>
    </row>
    <row r="493">
      <c r="B493" s="41" t="n"/>
      <c r="C493" s="18" t="n"/>
      <c r="D493" s="42">
        <f>IF(C493="","",IFERROR(INDEX(TenantProperty,MATCH(C493,Tenants,0)),""))</f>
        <v/>
      </c>
      <c r="E493" s="42">
        <f>IF(C493="","",IFERROR(INDEX(TenantUnit,MATCH(C493,Tenants,0)),""))</f>
        <v/>
      </c>
      <c r="F493" s="18" t="n"/>
      <c r="G493" s="18" t="n"/>
      <c r="H493" s="18" t="n"/>
      <c r="I493" s="18" t="n"/>
      <c r="J493" s="37" t="n"/>
      <c r="K493" s="37" t="n"/>
      <c r="L493" s="43">
        <f>IF(C493="","",SUMIFS($J$7:J493,$C$7:C493,C493)-SUMIFS($K$7:K493,$C$7:C493,C493))</f>
        <v/>
      </c>
      <c r="N493">
        <f>IF(AND(C493&lt;&gt;"",C493='Tenant Statement'!$C$6),COUNTIF($C$7:C493,'Tenant Statement'!$C$6),"")</f>
        <v/>
      </c>
    </row>
    <row r="494">
      <c r="B494" s="41" t="n"/>
      <c r="C494" s="18" t="n"/>
      <c r="D494" s="42">
        <f>IF(C494="","",IFERROR(INDEX(TenantProperty,MATCH(C494,Tenants,0)),""))</f>
        <v/>
      </c>
      <c r="E494" s="42">
        <f>IF(C494="","",IFERROR(INDEX(TenantUnit,MATCH(C494,Tenants,0)),""))</f>
        <v/>
      </c>
      <c r="F494" s="18" t="n"/>
      <c r="G494" s="18" t="n"/>
      <c r="H494" s="18" t="n"/>
      <c r="I494" s="18" t="n"/>
      <c r="J494" s="37" t="n"/>
      <c r="K494" s="37" t="n"/>
      <c r="L494" s="43">
        <f>IF(C494="","",SUMIFS($J$7:J494,$C$7:C494,C494)-SUMIFS($K$7:K494,$C$7:C494,C494))</f>
        <v/>
      </c>
      <c r="N494">
        <f>IF(AND(C494&lt;&gt;"",C494='Tenant Statement'!$C$6),COUNTIF($C$7:C494,'Tenant Statement'!$C$6),"")</f>
        <v/>
      </c>
    </row>
    <row r="495">
      <c r="B495" s="41" t="n"/>
      <c r="C495" s="18" t="n"/>
      <c r="D495" s="42">
        <f>IF(C495="","",IFERROR(INDEX(TenantProperty,MATCH(C495,Tenants,0)),""))</f>
        <v/>
      </c>
      <c r="E495" s="42">
        <f>IF(C495="","",IFERROR(INDEX(TenantUnit,MATCH(C495,Tenants,0)),""))</f>
        <v/>
      </c>
      <c r="F495" s="18" t="n"/>
      <c r="G495" s="18" t="n"/>
      <c r="H495" s="18" t="n"/>
      <c r="I495" s="18" t="n"/>
      <c r="J495" s="37" t="n"/>
      <c r="K495" s="37" t="n"/>
      <c r="L495" s="43">
        <f>IF(C495="","",SUMIFS($J$7:J495,$C$7:C495,C495)-SUMIFS($K$7:K495,$C$7:C495,C495))</f>
        <v/>
      </c>
      <c r="N495">
        <f>IF(AND(C495&lt;&gt;"",C495='Tenant Statement'!$C$6),COUNTIF($C$7:C495,'Tenant Statement'!$C$6),"")</f>
        <v/>
      </c>
    </row>
    <row r="496">
      <c r="B496" s="41" t="n"/>
      <c r="C496" s="18" t="n"/>
      <c r="D496" s="42">
        <f>IF(C496="","",IFERROR(INDEX(TenantProperty,MATCH(C496,Tenants,0)),""))</f>
        <v/>
      </c>
      <c r="E496" s="42">
        <f>IF(C496="","",IFERROR(INDEX(TenantUnit,MATCH(C496,Tenants,0)),""))</f>
        <v/>
      </c>
      <c r="F496" s="18" t="n"/>
      <c r="G496" s="18" t="n"/>
      <c r="H496" s="18" t="n"/>
      <c r="I496" s="18" t="n"/>
      <c r="J496" s="37" t="n"/>
      <c r="K496" s="37" t="n"/>
      <c r="L496" s="43">
        <f>IF(C496="","",SUMIFS($J$7:J496,$C$7:C496,C496)-SUMIFS($K$7:K496,$C$7:C496,C496))</f>
        <v/>
      </c>
      <c r="N496">
        <f>IF(AND(C496&lt;&gt;"",C496='Tenant Statement'!$C$6),COUNTIF($C$7:C496,'Tenant Statement'!$C$6),"")</f>
        <v/>
      </c>
    </row>
    <row r="497">
      <c r="B497" s="41" t="n"/>
      <c r="C497" s="18" t="n"/>
      <c r="D497" s="42">
        <f>IF(C497="","",IFERROR(INDEX(TenantProperty,MATCH(C497,Tenants,0)),""))</f>
        <v/>
      </c>
      <c r="E497" s="42">
        <f>IF(C497="","",IFERROR(INDEX(TenantUnit,MATCH(C497,Tenants,0)),""))</f>
        <v/>
      </c>
      <c r="F497" s="18" t="n"/>
      <c r="G497" s="18" t="n"/>
      <c r="H497" s="18" t="n"/>
      <c r="I497" s="18" t="n"/>
      <c r="J497" s="37" t="n"/>
      <c r="K497" s="37" t="n"/>
      <c r="L497" s="43">
        <f>IF(C497="","",SUMIFS($J$7:J497,$C$7:C497,C497)-SUMIFS($K$7:K497,$C$7:C497,C497))</f>
        <v/>
      </c>
      <c r="N497">
        <f>IF(AND(C497&lt;&gt;"",C497='Tenant Statement'!$C$6),COUNTIF($C$7:C497,'Tenant Statement'!$C$6),"")</f>
        <v/>
      </c>
    </row>
    <row r="498">
      <c r="B498" s="41" t="n"/>
      <c r="C498" s="18" t="n"/>
      <c r="D498" s="42">
        <f>IF(C498="","",IFERROR(INDEX(TenantProperty,MATCH(C498,Tenants,0)),""))</f>
        <v/>
      </c>
      <c r="E498" s="42">
        <f>IF(C498="","",IFERROR(INDEX(TenantUnit,MATCH(C498,Tenants,0)),""))</f>
        <v/>
      </c>
      <c r="F498" s="18" t="n"/>
      <c r="G498" s="18" t="n"/>
      <c r="H498" s="18" t="n"/>
      <c r="I498" s="18" t="n"/>
      <c r="J498" s="37" t="n"/>
      <c r="K498" s="37" t="n"/>
      <c r="L498" s="43">
        <f>IF(C498="","",SUMIFS($J$7:J498,$C$7:C498,C498)-SUMIFS($K$7:K498,$C$7:C498,C498))</f>
        <v/>
      </c>
      <c r="N498">
        <f>IF(AND(C498&lt;&gt;"",C498='Tenant Statement'!$C$6),COUNTIF($C$7:C498,'Tenant Statement'!$C$6),"")</f>
        <v/>
      </c>
    </row>
    <row r="499">
      <c r="B499" s="41" t="n"/>
      <c r="C499" s="18" t="n"/>
      <c r="D499" s="42">
        <f>IF(C499="","",IFERROR(INDEX(TenantProperty,MATCH(C499,Tenants,0)),""))</f>
        <v/>
      </c>
      <c r="E499" s="42">
        <f>IF(C499="","",IFERROR(INDEX(TenantUnit,MATCH(C499,Tenants,0)),""))</f>
        <v/>
      </c>
      <c r="F499" s="18" t="n"/>
      <c r="G499" s="18" t="n"/>
      <c r="H499" s="18" t="n"/>
      <c r="I499" s="18" t="n"/>
      <c r="J499" s="37" t="n"/>
      <c r="K499" s="37" t="n"/>
      <c r="L499" s="43">
        <f>IF(C499="","",SUMIFS($J$7:J499,$C$7:C499,C499)-SUMIFS($K$7:K499,$C$7:C499,C499))</f>
        <v/>
      </c>
      <c r="N499">
        <f>IF(AND(C499&lt;&gt;"",C499='Tenant Statement'!$C$6),COUNTIF($C$7:C499,'Tenant Statement'!$C$6),"")</f>
        <v/>
      </c>
    </row>
    <row r="500">
      <c r="B500" s="41" t="n"/>
      <c r="C500" s="18" t="n"/>
      <c r="D500" s="42">
        <f>IF(C500="","",IFERROR(INDEX(TenantProperty,MATCH(C500,Tenants,0)),""))</f>
        <v/>
      </c>
      <c r="E500" s="42">
        <f>IF(C500="","",IFERROR(INDEX(TenantUnit,MATCH(C500,Tenants,0)),""))</f>
        <v/>
      </c>
      <c r="F500" s="18" t="n"/>
      <c r="G500" s="18" t="n"/>
      <c r="H500" s="18" t="n"/>
      <c r="I500" s="18" t="n"/>
      <c r="J500" s="37" t="n"/>
      <c r="K500" s="37" t="n"/>
      <c r="L500" s="43">
        <f>IF(C500="","",SUMIFS($J$7:J500,$C$7:C500,C500)-SUMIFS($K$7:K500,$C$7:C500,C500))</f>
        <v/>
      </c>
      <c r="N500">
        <f>IF(AND(C500&lt;&gt;"",C500='Tenant Statement'!$C$6),COUNTIF($C$7:C500,'Tenant Statement'!$C$6),"")</f>
        <v/>
      </c>
    </row>
    <row r="501">
      <c r="B501" s="41" t="n"/>
      <c r="C501" s="18" t="n"/>
      <c r="D501" s="42">
        <f>IF(C501="","",IFERROR(INDEX(TenantProperty,MATCH(C501,Tenants,0)),""))</f>
        <v/>
      </c>
      <c r="E501" s="42">
        <f>IF(C501="","",IFERROR(INDEX(TenantUnit,MATCH(C501,Tenants,0)),""))</f>
        <v/>
      </c>
      <c r="F501" s="18" t="n"/>
      <c r="G501" s="18" t="n"/>
      <c r="H501" s="18" t="n"/>
      <c r="I501" s="18" t="n"/>
      <c r="J501" s="37" t="n"/>
      <c r="K501" s="37" t="n"/>
      <c r="L501" s="43">
        <f>IF(C501="","",SUMIFS($J$7:J501,$C$7:C501,C501)-SUMIFS($K$7:K501,$C$7:C501,C501))</f>
        <v/>
      </c>
      <c r="N501">
        <f>IF(AND(C501&lt;&gt;"",C501='Tenant Statement'!$C$6),COUNTIF($C$7:C501,'Tenant Statement'!$C$6),"")</f>
        <v/>
      </c>
    </row>
    <row r="502">
      <c r="B502" s="41" t="n"/>
      <c r="C502" s="18" t="n"/>
      <c r="D502" s="42">
        <f>IF(C502="","",IFERROR(INDEX(TenantProperty,MATCH(C502,Tenants,0)),""))</f>
        <v/>
      </c>
      <c r="E502" s="42">
        <f>IF(C502="","",IFERROR(INDEX(TenantUnit,MATCH(C502,Tenants,0)),""))</f>
        <v/>
      </c>
      <c r="F502" s="18" t="n"/>
      <c r="G502" s="18" t="n"/>
      <c r="H502" s="18" t="n"/>
      <c r="I502" s="18" t="n"/>
      <c r="J502" s="37" t="n"/>
      <c r="K502" s="37" t="n"/>
      <c r="L502" s="43">
        <f>IF(C502="","",SUMIFS($J$7:J502,$C$7:C502,C502)-SUMIFS($K$7:K502,$C$7:C502,C502))</f>
        <v/>
      </c>
      <c r="N502">
        <f>IF(AND(C502&lt;&gt;"",C502='Tenant Statement'!$C$6),COUNTIF($C$7:C502,'Tenant Statement'!$C$6),"")</f>
        <v/>
      </c>
    </row>
    <row r="503">
      <c r="B503" s="41" t="n"/>
      <c r="C503" s="18" t="n"/>
      <c r="D503" s="42">
        <f>IF(C503="","",IFERROR(INDEX(TenantProperty,MATCH(C503,Tenants,0)),""))</f>
        <v/>
      </c>
      <c r="E503" s="42">
        <f>IF(C503="","",IFERROR(INDEX(TenantUnit,MATCH(C503,Tenants,0)),""))</f>
        <v/>
      </c>
      <c r="F503" s="18" t="n"/>
      <c r="G503" s="18" t="n"/>
      <c r="H503" s="18" t="n"/>
      <c r="I503" s="18" t="n"/>
      <c r="J503" s="37" t="n"/>
      <c r="K503" s="37" t="n"/>
      <c r="L503" s="43">
        <f>IF(C503="","",SUMIFS($J$7:J503,$C$7:C503,C503)-SUMIFS($K$7:K503,$C$7:C503,C503))</f>
        <v/>
      </c>
      <c r="N503">
        <f>IF(AND(C503&lt;&gt;"",C503='Tenant Statement'!$C$6),COUNTIF($C$7:C503,'Tenant Statement'!$C$6),"")</f>
        <v/>
      </c>
    </row>
    <row r="504">
      <c r="B504" s="41" t="n"/>
      <c r="C504" s="18" t="n"/>
      <c r="D504" s="42">
        <f>IF(C504="","",IFERROR(INDEX(TenantProperty,MATCH(C504,Tenants,0)),""))</f>
        <v/>
      </c>
      <c r="E504" s="42">
        <f>IF(C504="","",IFERROR(INDEX(TenantUnit,MATCH(C504,Tenants,0)),""))</f>
        <v/>
      </c>
      <c r="F504" s="18" t="n"/>
      <c r="G504" s="18" t="n"/>
      <c r="H504" s="18" t="n"/>
      <c r="I504" s="18" t="n"/>
      <c r="J504" s="37" t="n"/>
      <c r="K504" s="37" t="n"/>
      <c r="L504" s="43">
        <f>IF(C504="","",SUMIFS($J$7:J504,$C$7:C504,C504)-SUMIFS($K$7:K504,$C$7:C504,C504))</f>
        <v/>
      </c>
      <c r="N504">
        <f>IF(AND(C504&lt;&gt;"",C504='Tenant Statement'!$C$6),COUNTIF($C$7:C504,'Tenant Statement'!$C$6),"")</f>
        <v/>
      </c>
    </row>
    <row r="505">
      <c r="B505" s="41" t="n"/>
      <c r="C505" s="18" t="n"/>
      <c r="D505" s="42">
        <f>IF(C505="","",IFERROR(INDEX(TenantProperty,MATCH(C505,Tenants,0)),""))</f>
        <v/>
      </c>
      <c r="E505" s="42">
        <f>IF(C505="","",IFERROR(INDEX(TenantUnit,MATCH(C505,Tenants,0)),""))</f>
        <v/>
      </c>
      <c r="F505" s="18" t="n"/>
      <c r="G505" s="18" t="n"/>
      <c r="H505" s="18" t="n"/>
      <c r="I505" s="18" t="n"/>
      <c r="J505" s="37" t="n"/>
      <c r="K505" s="37" t="n"/>
      <c r="L505" s="43">
        <f>IF(C505="","",SUMIFS($J$7:J505,$C$7:C505,C505)-SUMIFS($K$7:K505,$C$7:C505,C505))</f>
        <v/>
      </c>
      <c r="N505">
        <f>IF(AND(C505&lt;&gt;"",C505='Tenant Statement'!$C$6),COUNTIF($C$7:C505,'Tenant Statement'!$C$6),"")</f>
        <v/>
      </c>
    </row>
    <row r="506">
      <c r="B506" s="41" t="n"/>
      <c r="C506" s="18" t="n"/>
      <c r="D506" s="42">
        <f>IF(C506="","",IFERROR(INDEX(TenantProperty,MATCH(C506,Tenants,0)),""))</f>
        <v/>
      </c>
      <c r="E506" s="42">
        <f>IF(C506="","",IFERROR(INDEX(TenantUnit,MATCH(C506,Tenants,0)),""))</f>
        <v/>
      </c>
      <c r="F506" s="18" t="n"/>
      <c r="G506" s="18" t="n"/>
      <c r="H506" s="18" t="n"/>
      <c r="I506" s="18" t="n"/>
      <c r="J506" s="37" t="n"/>
      <c r="K506" s="37" t="n"/>
      <c r="L506" s="43">
        <f>IF(C506="","",SUMIFS($J$7:J506,$C$7:C506,C506)-SUMIFS($K$7:K506,$C$7:C506,C506))</f>
        <v/>
      </c>
      <c r="N506">
        <f>IF(AND(C506&lt;&gt;"",C506='Tenant Statement'!$C$6),COUNTIF($C$7:C506,'Tenant Statement'!$C$6),"")</f>
        <v/>
      </c>
    </row>
    <row r="507">
      <c r="B507" s="41" t="n"/>
      <c r="C507" s="18" t="n"/>
      <c r="D507" s="42">
        <f>IF(C507="","",IFERROR(INDEX(TenantProperty,MATCH(C507,Tenants,0)),""))</f>
        <v/>
      </c>
      <c r="E507" s="42">
        <f>IF(C507="","",IFERROR(INDEX(TenantUnit,MATCH(C507,Tenants,0)),""))</f>
        <v/>
      </c>
      <c r="F507" s="18" t="n"/>
      <c r="G507" s="18" t="n"/>
      <c r="H507" s="18" t="n"/>
      <c r="I507" s="18" t="n"/>
      <c r="J507" s="37" t="n"/>
      <c r="K507" s="37" t="n"/>
      <c r="L507" s="43">
        <f>IF(C507="","",SUMIFS($J$7:J507,$C$7:C507,C507)-SUMIFS($K$7:K507,$C$7:C507,C507))</f>
        <v/>
      </c>
      <c r="N507">
        <f>IF(AND(C507&lt;&gt;"",C507='Tenant Statement'!$C$6),COUNTIF($C$7:C507,'Tenant Statement'!$C$6),"")</f>
        <v/>
      </c>
    </row>
    <row r="508">
      <c r="B508" s="41" t="n"/>
      <c r="C508" s="18" t="n"/>
      <c r="D508" s="42">
        <f>IF(C508="","",IFERROR(INDEX(TenantProperty,MATCH(C508,Tenants,0)),""))</f>
        <v/>
      </c>
      <c r="E508" s="42">
        <f>IF(C508="","",IFERROR(INDEX(TenantUnit,MATCH(C508,Tenants,0)),""))</f>
        <v/>
      </c>
      <c r="F508" s="18" t="n"/>
      <c r="G508" s="18" t="n"/>
      <c r="H508" s="18" t="n"/>
      <c r="I508" s="18" t="n"/>
      <c r="J508" s="37" t="n"/>
      <c r="K508" s="37" t="n"/>
      <c r="L508" s="43">
        <f>IF(C508="","",SUMIFS($J$7:J508,$C$7:C508,C508)-SUMIFS($K$7:K508,$C$7:C508,C508))</f>
        <v/>
      </c>
      <c r="N508">
        <f>IF(AND(C508&lt;&gt;"",C508='Tenant Statement'!$C$6),COUNTIF($C$7:C508,'Tenant Statement'!$C$6),"")</f>
        <v/>
      </c>
    </row>
    <row r="509">
      <c r="B509" s="41" t="n"/>
      <c r="C509" s="18" t="n"/>
      <c r="D509" s="42">
        <f>IF(C509="","",IFERROR(INDEX(TenantProperty,MATCH(C509,Tenants,0)),""))</f>
        <v/>
      </c>
      <c r="E509" s="42">
        <f>IF(C509="","",IFERROR(INDEX(TenantUnit,MATCH(C509,Tenants,0)),""))</f>
        <v/>
      </c>
      <c r="F509" s="18" t="n"/>
      <c r="G509" s="18" t="n"/>
      <c r="H509" s="18" t="n"/>
      <c r="I509" s="18" t="n"/>
      <c r="J509" s="37" t="n"/>
      <c r="K509" s="37" t="n"/>
      <c r="L509" s="43">
        <f>IF(C509="","",SUMIFS($J$7:J509,$C$7:C509,C509)-SUMIFS($K$7:K509,$C$7:C509,C509))</f>
        <v/>
      </c>
      <c r="N509">
        <f>IF(AND(C509&lt;&gt;"",C509='Tenant Statement'!$C$6),COUNTIF($C$7:C509,'Tenant Statement'!$C$6),"")</f>
        <v/>
      </c>
    </row>
    <row r="510">
      <c r="B510" s="41" t="n"/>
      <c r="C510" s="18" t="n"/>
      <c r="D510" s="42">
        <f>IF(C510="","",IFERROR(INDEX(TenantProperty,MATCH(C510,Tenants,0)),""))</f>
        <v/>
      </c>
      <c r="E510" s="42">
        <f>IF(C510="","",IFERROR(INDEX(TenantUnit,MATCH(C510,Tenants,0)),""))</f>
        <v/>
      </c>
      <c r="F510" s="18" t="n"/>
      <c r="G510" s="18" t="n"/>
      <c r="H510" s="18" t="n"/>
      <c r="I510" s="18" t="n"/>
      <c r="J510" s="37" t="n"/>
      <c r="K510" s="37" t="n"/>
      <c r="L510" s="43">
        <f>IF(C510="","",SUMIFS($J$7:J510,$C$7:C510,C510)-SUMIFS($K$7:K510,$C$7:C510,C510))</f>
        <v/>
      </c>
      <c r="N510">
        <f>IF(AND(C510&lt;&gt;"",C510='Tenant Statement'!$C$6),COUNTIF($C$7:C510,'Tenant Statement'!$C$6),"")</f>
        <v/>
      </c>
    </row>
    <row r="511">
      <c r="B511" s="41" t="n"/>
      <c r="C511" s="18" t="n"/>
      <c r="D511" s="42">
        <f>IF(C511="","",IFERROR(INDEX(TenantProperty,MATCH(C511,Tenants,0)),""))</f>
        <v/>
      </c>
      <c r="E511" s="42">
        <f>IF(C511="","",IFERROR(INDEX(TenantUnit,MATCH(C511,Tenants,0)),""))</f>
        <v/>
      </c>
      <c r="F511" s="18" t="n"/>
      <c r="G511" s="18" t="n"/>
      <c r="H511" s="18" t="n"/>
      <c r="I511" s="18" t="n"/>
      <c r="J511" s="37" t="n"/>
      <c r="K511" s="37" t="n"/>
      <c r="L511" s="43">
        <f>IF(C511="","",SUMIFS($J$7:J511,$C$7:C511,C511)-SUMIFS($K$7:K511,$C$7:C511,C511))</f>
        <v/>
      </c>
      <c r="N511">
        <f>IF(AND(C511&lt;&gt;"",C511='Tenant Statement'!$C$6),COUNTIF($C$7:C511,'Tenant Statement'!$C$6),"")</f>
        <v/>
      </c>
    </row>
    <row r="512">
      <c r="B512" s="41" t="n"/>
      <c r="C512" s="18" t="n"/>
      <c r="D512" s="42">
        <f>IF(C512="","",IFERROR(INDEX(TenantProperty,MATCH(C512,Tenants,0)),""))</f>
        <v/>
      </c>
      <c r="E512" s="42">
        <f>IF(C512="","",IFERROR(INDEX(TenantUnit,MATCH(C512,Tenants,0)),""))</f>
        <v/>
      </c>
      <c r="F512" s="18" t="n"/>
      <c r="G512" s="18" t="n"/>
      <c r="H512" s="18" t="n"/>
      <c r="I512" s="18" t="n"/>
      <c r="J512" s="37" t="n"/>
      <c r="K512" s="37" t="n"/>
      <c r="L512" s="43">
        <f>IF(C512="","",SUMIFS($J$7:J512,$C$7:C512,C512)-SUMIFS($K$7:K512,$C$7:C512,C512))</f>
        <v/>
      </c>
      <c r="N512">
        <f>IF(AND(C512&lt;&gt;"",C512='Tenant Statement'!$C$6),COUNTIF($C$7:C512,'Tenant Statement'!$C$6),"")</f>
        <v/>
      </c>
    </row>
    <row r="513">
      <c r="B513" s="41" t="n"/>
      <c r="C513" s="18" t="n"/>
      <c r="D513" s="42">
        <f>IF(C513="","",IFERROR(INDEX(TenantProperty,MATCH(C513,Tenants,0)),""))</f>
        <v/>
      </c>
      <c r="E513" s="42">
        <f>IF(C513="","",IFERROR(INDEX(TenantUnit,MATCH(C513,Tenants,0)),""))</f>
        <v/>
      </c>
      <c r="F513" s="18" t="n"/>
      <c r="G513" s="18" t="n"/>
      <c r="H513" s="18" t="n"/>
      <c r="I513" s="18" t="n"/>
      <c r="J513" s="37" t="n"/>
      <c r="K513" s="37" t="n"/>
      <c r="L513" s="43">
        <f>IF(C513="","",SUMIFS($J$7:J513,$C$7:C513,C513)-SUMIFS($K$7:K513,$C$7:C513,C513))</f>
        <v/>
      </c>
      <c r="N513">
        <f>IF(AND(C513&lt;&gt;"",C513='Tenant Statement'!$C$6),COUNTIF($C$7:C513,'Tenant Statement'!$C$6),"")</f>
        <v/>
      </c>
    </row>
    <row r="514">
      <c r="B514" s="41" t="n"/>
      <c r="C514" s="18" t="n"/>
      <c r="D514" s="42">
        <f>IF(C514="","",IFERROR(INDEX(TenantProperty,MATCH(C514,Tenants,0)),""))</f>
        <v/>
      </c>
      <c r="E514" s="42">
        <f>IF(C514="","",IFERROR(INDEX(TenantUnit,MATCH(C514,Tenants,0)),""))</f>
        <v/>
      </c>
      <c r="F514" s="18" t="n"/>
      <c r="G514" s="18" t="n"/>
      <c r="H514" s="18" t="n"/>
      <c r="I514" s="18" t="n"/>
      <c r="J514" s="37" t="n"/>
      <c r="K514" s="37" t="n"/>
      <c r="L514" s="43">
        <f>IF(C514="","",SUMIFS($J$7:J514,$C$7:C514,C514)-SUMIFS($K$7:K514,$C$7:C514,C514))</f>
        <v/>
      </c>
      <c r="N514">
        <f>IF(AND(C514&lt;&gt;"",C514='Tenant Statement'!$C$6),COUNTIF($C$7:C514,'Tenant Statement'!$C$6),"")</f>
        <v/>
      </c>
    </row>
    <row r="515">
      <c r="B515" s="41" t="n"/>
      <c r="C515" s="18" t="n"/>
      <c r="D515" s="42">
        <f>IF(C515="","",IFERROR(INDEX(TenantProperty,MATCH(C515,Tenants,0)),""))</f>
        <v/>
      </c>
      <c r="E515" s="42">
        <f>IF(C515="","",IFERROR(INDEX(TenantUnit,MATCH(C515,Tenants,0)),""))</f>
        <v/>
      </c>
      <c r="F515" s="18" t="n"/>
      <c r="G515" s="18" t="n"/>
      <c r="H515" s="18" t="n"/>
      <c r="I515" s="18" t="n"/>
      <c r="J515" s="37" t="n"/>
      <c r="K515" s="37" t="n"/>
      <c r="L515" s="43">
        <f>IF(C515="","",SUMIFS($J$7:J515,$C$7:C515,C515)-SUMIFS($K$7:K515,$C$7:C515,C515))</f>
        <v/>
      </c>
      <c r="N515">
        <f>IF(AND(C515&lt;&gt;"",C515='Tenant Statement'!$C$6),COUNTIF($C$7:C515,'Tenant Statement'!$C$6),"")</f>
        <v/>
      </c>
    </row>
    <row r="516">
      <c r="B516" s="41" t="n"/>
      <c r="C516" s="18" t="n"/>
      <c r="D516" s="42">
        <f>IF(C516="","",IFERROR(INDEX(TenantProperty,MATCH(C516,Tenants,0)),""))</f>
        <v/>
      </c>
      <c r="E516" s="42">
        <f>IF(C516="","",IFERROR(INDEX(TenantUnit,MATCH(C516,Tenants,0)),""))</f>
        <v/>
      </c>
      <c r="F516" s="18" t="n"/>
      <c r="G516" s="18" t="n"/>
      <c r="H516" s="18" t="n"/>
      <c r="I516" s="18" t="n"/>
      <c r="J516" s="37" t="n"/>
      <c r="K516" s="37" t="n"/>
      <c r="L516" s="43">
        <f>IF(C516="","",SUMIFS($J$7:J516,$C$7:C516,C516)-SUMIFS($K$7:K516,$C$7:C516,C516))</f>
        <v/>
      </c>
      <c r="N516">
        <f>IF(AND(C516&lt;&gt;"",C516='Tenant Statement'!$C$6),COUNTIF($C$7:C516,'Tenant Statement'!$C$6),"")</f>
        <v/>
      </c>
    </row>
    <row r="517">
      <c r="B517" s="41" t="n"/>
      <c r="C517" s="18" t="n"/>
      <c r="D517" s="42">
        <f>IF(C517="","",IFERROR(INDEX(TenantProperty,MATCH(C517,Tenants,0)),""))</f>
        <v/>
      </c>
      <c r="E517" s="42">
        <f>IF(C517="","",IFERROR(INDEX(TenantUnit,MATCH(C517,Tenants,0)),""))</f>
        <v/>
      </c>
      <c r="F517" s="18" t="n"/>
      <c r="G517" s="18" t="n"/>
      <c r="H517" s="18" t="n"/>
      <c r="I517" s="18" t="n"/>
      <c r="J517" s="37" t="n"/>
      <c r="K517" s="37" t="n"/>
      <c r="L517" s="43">
        <f>IF(C517="","",SUMIFS($J$7:J517,$C$7:C517,C517)-SUMIFS($K$7:K517,$C$7:C517,C517))</f>
        <v/>
      </c>
      <c r="N517">
        <f>IF(AND(C517&lt;&gt;"",C517='Tenant Statement'!$C$6),COUNTIF($C$7:C517,'Tenant Statement'!$C$6),"")</f>
        <v/>
      </c>
    </row>
    <row r="518">
      <c r="B518" s="41" t="n"/>
      <c r="C518" s="18" t="n"/>
      <c r="D518" s="42">
        <f>IF(C518="","",IFERROR(INDEX(TenantProperty,MATCH(C518,Tenants,0)),""))</f>
        <v/>
      </c>
      <c r="E518" s="42">
        <f>IF(C518="","",IFERROR(INDEX(TenantUnit,MATCH(C518,Tenants,0)),""))</f>
        <v/>
      </c>
      <c r="F518" s="18" t="n"/>
      <c r="G518" s="18" t="n"/>
      <c r="H518" s="18" t="n"/>
      <c r="I518" s="18" t="n"/>
      <c r="J518" s="37" t="n"/>
      <c r="K518" s="37" t="n"/>
      <c r="L518" s="43">
        <f>IF(C518="","",SUMIFS($J$7:J518,$C$7:C518,C518)-SUMIFS($K$7:K518,$C$7:C518,C518))</f>
        <v/>
      </c>
      <c r="N518">
        <f>IF(AND(C518&lt;&gt;"",C518='Tenant Statement'!$C$6),COUNTIF($C$7:C518,'Tenant Statement'!$C$6),"")</f>
        <v/>
      </c>
    </row>
    <row r="519">
      <c r="B519" s="41" t="n"/>
      <c r="C519" s="18" t="n"/>
      <c r="D519" s="42">
        <f>IF(C519="","",IFERROR(INDEX(TenantProperty,MATCH(C519,Tenants,0)),""))</f>
        <v/>
      </c>
      <c r="E519" s="42">
        <f>IF(C519="","",IFERROR(INDEX(TenantUnit,MATCH(C519,Tenants,0)),""))</f>
        <v/>
      </c>
      <c r="F519" s="18" t="n"/>
      <c r="G519" s="18" t="n"/>
      <c r="H519" s="18" t="n"/>
      <c r="I519" s="18" t="n"/>
      <c r="J519" s="37" t="n"/>
      <c r="K519" s="37" t="n"/>
      <c r="L519" s="43">
        <f>IF(C519="","",SUMIFS($J$7:J519,$C$7:C519,C519)-SUMIFS($K$7:K519,$C$7:C519,C519))</f>
        <v/>
      </c>
      <c r="N519">
        <f>IF(AND(C519&lt;&gt;"",C519='Tenant Statement'!$C$6),COUNTIF($C$7:C519,'Tenant Statement'!$C$6),"")</f>
        <v/>
      </c>
    </row>
    <row r="520">
      <c r="B520" s="41" t="n"/>
      <c r="C520" s="18" t="n"/>
      <c r="D520" s="42">
        <f>IF(C520="","",IFERROR(INDEX(TenantProperty,MATCH(C520,Tenants,0)),""))</f>
        <v/>
      </c>
      <c r="E520" s="42">
        <f>IF(C520="","",IFERROR(INDEX(TenantUnit,MATCH(C520,Tenants,0)),""))</f>
        <v/>
      </c>
      <c r="F520" s="18" t="n"/>
      <c r="G520" s="18" t="n"/>
      <c r="H520" s="18" t="n"/>
      <c r="I520" s="18" t="n"/>
      <c r="J520" s="37" t="n"/>
      <c r="K520" s="37" t="n"/>
      <c r="L520" s="43">
        <f>IF(C520="","",SUMIFS($J$7:J520,$C$7:C520,C520)-SUMIFS($K$7:K520,$C$7:C520,C520))</f>
        <v/>
      </c>
      <c r="N520">
        <f>IF(AND(C520&lt;&gt;"",C520='Tenant Statement'!$C$6),COUNTIF($C$7:C520,'Tenant Statement'!$C$6),"")</f>
        <v/>
      </c>
    </row>
    <row r="521">
      <c r="B521" s="41" t="n"/>
      <c r="C521" s="18" t="n"/>
      <c r="D521" s="42">
        <f>IF(C521="","",IFERROR(INDEX(TenantProperty,MATCH(C521,Tenants,0)),""))</f>
        <v/>
      </c>
      <c r="E521" s="42">
        <f>IF(C521="","",IFERROR(INDEX(TenantUnit,MATCH(C521,Tenants,0)),""))</f>
        <v/>
      </c>
      <c r="F521" s="18" t="n"/>
      <c r="G521" s="18" t="n"/>
      <c r="H521" s="18" t="n"/>
      <c r="I521" s="18" t="n"/>
      <c r="J521" s="37" t="n"/>
      <c r="K521" s="37" t="n"/>
      <c r="L521" s="43">
        <f>IF(C521="","",SUMIFS($J$7:J521,$C$7:C521,C521)-SUMIFS($K$7:K521,$C$7:C521,C521))</f>
        <v/>
      </c>
      <c r="N521">
        <f>IF(AND(C521&lt;&gt;"",C521='Tenant Statement'!$C$6),COUNTIF($C$7:C521,'Tenant Statement'!$C$6),"")</f>
        <v/>
      </c>
    </row>
    <row r="522">
      <c r="B522" s="41" t="n"/>
      <c r="C522" s="18" t="n"/>
      <c r="D522" s="42">
        <f>IF(C522="","",IFERROR(INDEX(TenantProperty,MATCH(C522,Tenants,0)),""))</f>
        <v/>
      </c>
      <c r="E522" s="42">
        <f>IF(C522="","",IFERROR(INDEX(TenantUnit,MATCH(C522,Tenants,0)),""))</f>
        <v/>
      </c>
      <c r="F522" s="18" t="n"/>
      <c r="G522" s="18" t="n"/>
      <c r="H522" s="18" t="n"/>
      <c r="I522" s="18" t="n"/>
      <c r="J522" s="37" t="n"/>
      <c r="K522" s="37" t="n"/>
      <c r="L522" s="43">
        <f>IF(C522="","",SUMIFS($J$7:J522,$C$7:C522,C522)-SUMIFS($K$7:K522,$C$7:C522,C522))</f>
        <v/>
      </c>
      <c r="N522">
        <f>IF(AND(C522&lt;&gt;"",C522='Tenant Statement'!$C$6),COUNTIF($C$7:C522,'Tenant Statement'!$C$6),"")</f>
        <v/>
      </c>
    </row>
    <row r="523">
      <c r="B523" s="41" t="n"/>
      <c r="C523" s="18" t="n"/>
      <c r="D523" s="42">
        <f>IF(C523="","",IFERROR(INDEX(TenantProperty,MATCH(C523,Tenants,0)),""))</f>
        <v/>
      </c>
      <c r="E523" s="42">
        <f>IF(C523="","",IFERROR(INDEX(TenantUnit,MATCH(C523,Tenants,0)),""))</f>
        <v/>
      </c>
      <c r="F523" s="18" t="n"/>
      <c r="G523" s="18" t="n"/>
      <c r="H523" s="18" t="n"/>
      <c r="I523" s="18" t="n"/>
      <c r="J523" s="37" t="n"/>
      <c r="K523" s="37" t="n"/>
      <c r="L523" s="43">
        <f>IF(C523="","",SUMIFS($J$7:J523,$C$7:C523,C523)-SUMIFS($K$7:K523,$C$7:C523,C523))</f>
        <v/>
      </c>
      <c r="N523">
        <f>IF(AND(C523&lt;&gt;"",C523='Tenant Statement'!$C$6),COUNTIF($C$7:C523,'Tenant Statement'!$C$6),"")</f>
        <v/>
      </c>
    </row>
    <row r="524">
      <c r="B524" s="41" t="n"/>
      <c r="C524" s="18" t="n"/>
      <c r="D524" s="42">
        <f>IF(C524="","",IFERROR(INDEX(TenantProperty,MATCH(C524,Tenants,0)),""))</f>
        <v/>
      </c>
      <c r="E524" s="42">
        <f>IF(C524="","",IFERROR(INDEX(TenantUnit,MATCH(C524,Tenants,0)),""))</f>
        <v/>
      </c>
      <c r="F524" s="18" t="n"/>
      <c r="G524" s="18" t="n"/>
      <c r="H524" s="18" t="n"/>
      <c r="I524" s="18" t="n"/>
      <c r="J524" s="37" t="n"/>
      <c r="K524" s="37" t="n"/>
      <c r="L524" s="43">
        <f>IF(C524="","",SUMIFS($J$7:J524,$C$7:C524,C524)-SUMIFS($K$7:K524,$C$7:C524,C524))</f>
        <v/>
      </c>
      <c r="N524">
        <f>IF(AND(C524&lt;&gt;"",C524='Tenant Statement'!$C$6),COUNTIF($C$7:C524,'Tenant Statement'!$C$6),"")</f>
        <v/>
      </c>
    </row>
    <row r="525">
      <c r="B525" s="41" t="n"/>
      <c r="C525" s="18" t="n"/>
      <c r="D525" s="42">
        <f>IF(C525="","",IFERROR(INDEX(TenantProperty,MATCH(C525,Tenants,0)),""))</f>
        <v/>
      </c>
      <c r="E525" s="42">
        <f>IF(C525="","",IFERROR(INDEX(TenantUnit,MATCH(C525,Tenants,0)),""))</f>
        <v/>
      </c>
      <c r="F525" s="18" t="n"/>
      <c r="G525" s="18" t="n"/>
      <c r="H525" s="18" t="n"/>
      <c r="I525" s="18" t="n"/>
      <c r="J525" s="37" t="n"/>
      <c r="K525" s="37" t="n"/>
      <c r="L525" s="43">
        <f>IF(C525="","",SUMIFS($J$7:J525,$C$7:C525,C525)-SUMIFS($K$7:K525,$C$7:C525,C525))</f>
        <v/>
      </c>
      <c r="N525">
        <f>IF(AND(C525&lt;&gt;"",C525='Tenant Statement'!$C$6),COUNTIF($C$7:C525,'Tenant Statement'!$C$6),"")</f>
        <v/>
      </c>
    </row>
    <row r="526">
      <c r="B526" s="41" t="n"/>
      <c r="C526" s="18" t="n"/>
      <c r="D526" s="42">
        <f>IF(C526="","",IFERROR(INDEX(TenantProperty,MATCH(C526,Tenants,0)),""))</f>
        <v/>
      </c>
      <c r="E526" s="42">
        <f>IF(C526="","",IFERROR(INDEX(TenantUnit,MATCH(C526,Tenants,0)),""))</f>
        <v/>
      </c>
      <c r="F526" s="18" t="n"/>
      <c r="G526" s="18" t="n"/>
      <c r="H526" s="18" t="n"/>
      <c r="I526" s="18" t="n"/>
      <c r="J526" s="37" t="n"/>
      <c r="K526" s="37" t="n"/>
      <c r="L526" s="43">
        <f>IF(C526="","",SUMIFS($J$7:J526,$C$7:C526,C526)-SUMIFS($K$7:K526,$C$7:C526,C526))</f>
        <v/>
      </c>
      <c r="N526">
        <f>IF(AND(C526&lt;&gt;"",C526='Tenant Statement'!$C$6),COUNTIF($C$7:C526,'Tenant Statement'!$C$6),"")</f>
        <v/>
      </c>
    </row>
    <row r="527">
      <c r="B527" s="41" t="n"/>
      <c r="C527" s="18" t="n"/>
      <c r="D527" s="42">
        <f>IF(C527="","",IFERROR(INDEX(TenantProperty,MATCH(C527,Tenants,0)),""))</f>
        <v/>
      </c>
      <c r="E527" s="42">
        <f>IF(C527="","",IFERROR(INDEX(TenantUnit,MATCH(C527,Tenants,0)),""))</f>
        <v/>
      </c>
      <c r="F527" s="18" t="n"/>
      <c r="G527" s="18" t="n"/>
      <c r="H527" s="18" t="n"/>
      <c r="I527" s="18" t="n"/>
      <c r="J527" s="37" t="n"/>
      <c r="K527" s="37" t="n"/>
      <c r="L527" s="43">
        <f>IF(C527="","",SUMIFS($J$7:J527,$C$7:C527,C527)-SUMIFS($K$7:K527,$C$7:C527,C527))</f>
        <v/>
      </c>
      <c r="N527">
        <f>IF(AND(C527&lt;&gt;"",C527='Tenant Statement'!$C$6),COUNTIF($C$7:C527,'Tenant Statement'!$C$6),"")</f>
        <v/>
      </c>
    </row>
    <row r="528">
      <c r="B528" s="41" t="n"/>
      <c r="C528" s="18" t="n"/>
      <c r="D528" s="42">
        <f>IF(C528="","",IFERROR(INDEX(TenantProperty,MATCH(C528,Tenants,0)),""))</f>
        <v/>
      </c>
      <c r="E528" s="42">
        <f>IF(C528="","",IFERROR(INDEX(TenantUnit,MATCH(C528,Tenants,0)),""))</f>
        <v/>
      </c>
      <c r="F528" s="18" t="n"/>
      <c r="G528" s="18" t="n"/>
      <c r="H528" s="18" t="n"/>
      <c r="I528" s="18" t="n"/>
      <c r="J528" s="37" t="n"/>
      <c r="K528" s="37" t="n"/>
      <c r="L528" s="43">
        <f>IF(C528="","",SUMIFS($J$7:J528,$C$7:C528,C528)-SUMIFS($K$7:K528,$C$7:C528,C528))</f>
        <v/>
      </c>
      <c r="N528">
        <f>IF(AND(C528&lt;&gt;"",C528='Tenant Statement'!$C$6),COUNTIF($C$7:C528,'Tenant Statement'!$C$6),"")</f>
        <v/>
      </c>
    </row>
    <row r="529">
      <c r="B529" s="41" t="n"/>
      <c r="C529" s="18" t="n"/>
      <c r="D529" s="42">
        <f>IF(C529="","",IFERROR(INDEX(TenantProperty,MATCH(C529,Tenants,0)),""))</f>
        <v/>
      </c>
      <c r="E529" s="42">
        <f>IF(C529="","",IFERROR(INDEX(TenantUnit,MATCH(C529,Tenants,0)),""))</f>
        <v/>
      </c>
      <c r="F529" s="18" t="n"/>
      <c r="G529" s="18" t="n"/>
      <c r="H529" s="18" t="n"/>
      <c r="I529" s="18" t="n"/>
      <c r="J529" s="37" t="n"/>
      <c r="K529" s="37" t="n"/>
      <c r="L529" s="43">
        <f>IF(C529="","",SUMIFS($J$7:J529,$C$7:C529,C529)-SUMIFS($K$7:K529,$C$7:C529,C529))</f>
        <v/>
      </c>
      <c r="N529">
        <f>IF(AND(C529&lt;&gt;"",C529='Tenant Statement'!$C$6),COUNTIF($C$7:C529,'Tenant Statement'!$C$6),"")</f>
        <v/>
      </c>
    </row>
    <row r="530">
      <c r="B530" s="41" t="n"/>
      <c r="C530" s="18" t="n"/>
      <c r="D530" s="42">
        <f>IF(C530="","",IFERROR(INDEX(TenantProperty,MATCH(C530,Tenants,0)),""))</f>
        <v/>
      </c>
      <c r="E530" s="42">
        <f>IF(C530="","",IFERROR(INDEX(TenantUnit,MATCH(C530,Tenants,0)),""))</f>
        <v/>
      </c>
      <c r="F530" s="18" t="n"/>
      <c r="G530" s="18" t="n"/>
      <c r="H530" s="18" t="n"/>
      <c r="I530" s="18" t="n"/>
      <c r="J530" s="37" t="n"/>
      <c r="K530" s="37" t="n"/>
      <c r="L530" s="43">
        <f>IF(C530="","",SUMIFS($J$7:J530,$C$7:C530,C530)-SUMIFS($K$7:K530,$C$7:C530,C530))</f>
        <v/>
      </c>
      <c r="N530">
        <f>IF(AND(C530&lt;&gt;"",C530='Tenant Statement'!$C$6),COUNTIF($C$7:C530,'Tenant Statement'!$C$6),"")</f>
        <v/>
      </c>
    </row>
    <row r="531">
      <c r="B531" s="41" t="n"/>
      <c r="C531" s="18" t="n"/>
      <c r="D531" s="42">
        <f>IF(C531="","",IFERROR(INDEX(TenantProperty,MATCH(C531,Tenants,0)),""))</f>
        <v/>
      </c>
      <c r="E531" s="42">
        <f>IF(C531="","",IFERROR(INDEX(TenantUnit,MATCH(C531,Tenants,0)),""))</f>
        <v/>
      </c>
      <c r="F531" s="18" t="n"/>
      <c r="G531" s="18" t="n"/>
      <c r="H531" s="18" t="n"/>
      <c r="I531" s="18" t="n"/>
      <c r="J531" s="37" t="n"/>
      <c r="K531" s="37" t="n"/>
      <c r="L531" s="43">
        <f>IF(C531="","",SUMIFS($J$7:J531,$C$7:C531,C531)-SUMIFS($K$7:K531,$C$7:C531,C531))</f>
        <v/>
      </c>
      <c r="N531">
        <f>IF(AND(C531&lt;&gt;"",C531='Tenant Statement'!$C$6),COUNTIF($C$7:C531,'Tenant Statement'!$C$6),"")</f>
        <v/>
      </c>
    </row>
    <row r="532">
      <c r="B532" s="41" t="n"/>
      <c r="C532" s="18" t="n"/>
      <c r="D532" s="42">
        <f>IF(C532="","",IFERROR(INDEX(TenantProperty,MATCH(C532,Tenants,0)),""))</f>
        <v/>
      </c>
      <c r="E532" s="42">
        <f>IF(C532="","",IFERROR(INDEX(TenantUnit,MATCH(C532,Tenants,0)),""))</f>
        <v/>
      </c>
      <c r="F532" s="18" t="n"/>
      <c r="G532" s="18" t="n"/>
      <c r="H532" s="18" t="n"/>
      <c r="I532" s="18" t="n"/>
      <c r="J532" s="37" t="n"/>
      <c r="K532" s="37" t="n"/>
      <c r="L532" s="43">
        <f>IF(C532="","",SUMIFS($J$7:J532,$C$7:C532,C532)-SUMIFS($K$7:K532,$C$7:C532,C532))</f>
        <v/>
      </c>
      <c r="N532">
        <f>IF(AND(C532&lt;&gt;"",C532='Tenant Statement'!$C$6),COUNTIF($C$7:C532,'Tenant Statement'!$C$6),"")</f>
        <v/>
      </c>
    </row>
    <row r="533">
      <c r="B533" s="41" t="n"/>
      <c r="C533" s="18" t="n"/>
      <c r="D533" s="42">
        <f>IF(C533="","",IFERROR(INDEX(TenantProperty,MATCH(C533,Tenants,0)),""))</f>
        <v/>
      </c>
      <c r="E533" s="42">
        <f>IF(C533="","",IFERROR(INDEX(TenantUnit,MATCH(C533,Tenants,0)),""))</f>
        <v/>
      </c>
      <c r="F533" s="18" t="n"/>
      <c r="G533" s="18" t="n"/>
      <c r="H533" s="18" t="n"/>
      <c r="I533" s="18" t="n"/>
      <c r="J533" s="37" t="n"/>
      <c r="K533" s="37" t="n"/>
      <c r="L533" s="43">
        <f>IF(C533="","",SUMIFS($J$7:J533,$C$7:C533,C533)-SUMIFS($K$7:K533,$C$7:C533,C533))</f>
        <v/>
      </c>
      <c r="N533">
        <f>IF(AND(C533&lt;&gt;"",C533='Tenant Statement'!$C$6),COUNTIF($C$7:C533,'Tenant Statement'!$C$6),"")</f>
        <v/>
      </c>
    </row>
    <row r="534">
      <c r="B534" s="41" t="n"/>
      <c r="C534" s="18" t="n"/>
      <c r="D534" s="42">
        <f>IF(C534="","",IFERROR(INDEX(TenantProperty,MATCH(C534,Tenants,0)),""))</f>
        <v/>
      </c>
      <c r="E534" s="42">
        <f>IF(C534="","",IFERROR(INDEX(TenantUnit,MATCH(C534,Tenants,0)),""))</f>
        <v/>
      </c>
      <c r="F534" s="18" t="n"/>
      <c r="G534" s="18" t="n"/>
      <c r="H534" s="18" t="n"/>
      <c r="I534" s="18" t="n"/>
      <c r="J534" s="37" t="n"/>
      <c r="K534" s="37" t="n"/>
      <c r="L534" s="43">
        <f>IF(C534="","",SUMIFS($J$7:J534,$C$7:C534,C534)-SUMIFS($K$7:K534,$C$7:C534,C534))</f>
        <v/>
      </c>
      <c r="N534">
        <f>IF(AND(C534&lt;&gt;"",C534='Tenant Statement'!$C$6),COUNTIF($C$7:C534,'Tenant Statement'!$C$6),"")</f>
        <v/>
      </c>
    </row>
    <row r="535">
      <c r="B535" s="41" t="n"/>
      <c r="C535" s="18" t="n"/>
      <c r="D535" s="42">
        <f>IF(C535="","",IFERROR(INDEX(TenantProperty,MATCH(C535,Tenants,0)),""))</f>
        <v/>
      </c>
      <c r="E535" s="42">
        <f>IF(C535="","",IFERROR(INDEX(TenantUnit,MATCH(C535,Tenants,0)),""))</f>
        <v/>
      </c>
      <c r="F535" s="18" t="n"/>
      <c r="G535" s="18" t="n"/>
      <c r="H535" s="18" t="n"/>
      <c r="I535" s="18" t="n"/>
      <c r="J535" s="37" t="n"/>
      <c r="K535" s="37" t="n"/>
      <c r="L535" s="43">
        <f>IF(C535="","",SUMIFS($J$7:J535,$C$7:C535,C535)-SUMIFS($K$7:K535,$C$7:C535,C535))</f>
        <v/>
      </c>
      <c r="N535">
        <f>IF(AND(C535&lt;&gt;"",C535='Tenant Statement'!$C$6),COUNTIF($C$7:C535,'Tenant Statement'!$C$6),"")</f>
        <v/>
      </c>
    </row>
    <row r="536">
      <c r="B536" s="41" t="n"/>
      <c r="C536" s="18" t="n"/>
      <c r="D536" s="42">
        <f>IF(C536="","",IFERROR(INDEX(TenantProperty,MATCH(C536,Tenants,0)),""))</f>
        <v/>
      </c>
      <c r="E536" s="42">
        <f>IF(C536="","",IFERROR(INDEX(TenantUnit,MATCH(C536,Tenants,0)),""))</f>
        <v/>
      </c>
      <c r="F536" s="18" t="n"/>
      <c r="G536" s="18" t="n"/>
      <c r="H536" s="18" t="n"/>
      <c r="I536" s="18" t="n"/>
      <c r="J536" s="37" t="n"/>
      <c r="K536" s="37" t="n"/>
      <c r="L536" s="43">
        <f>IF(C536="","",SUMIFS($J$7:J536,$C$7:C536,C536)-SUMIFS($K$7:K536,$C$7:C536,C536))</f>
        <v/>
      </c>
      <c r="N536">
        <f>IF(AND(C536&lt;&gt;"",C536='Tenant Statement'!$C$6),COUNTIF($C$7:C536,'Tenant Statement'!$C$6),"")</f>
        <v/>
      </c>
    </row>
    <row r="537">
      <c r="B537" s="41" t="n"/>
      <c r="C537" s="18" t="n"/>
      <c r="D537" s="42">
        <f>IF(C537="","",IFERROR(INDEX(TenantProperty,MATCH(C537,Tenants,0)),""))</f>
        <v/>
      </c>
      <c r="E537" s="42">
        <f>IF(C537="","",IFERROR(INDEX(TenantUnit,MATCH(C537,Tenants,0)),""))</f>
        <v/>
      </c>
      <c r="F537" s="18" t="n"/>
      <c r="G537" s="18" t="n"/>
      <c r="H537" s="18" t="n"/>
      <c r="I537" s="18" t="n"/>
      <c r="J537" s="37" t="n"/>
      <c r="K537" s="37" t="n"/>
      <c r="L537" s="43">
        <f>IF(C537="","",SUMIFS($J$7:J537,$C$7:C537,C537)-SUMIFS($K$7:K537,$C$7:C537,C537))</f>
        <v/>
      </c>
      <c r="N537">
        <f>IF(AND(C537&lt;&gt;"",C537='Tenant Statement'!$C$6),COUNTIF($C$7:C537,'Tenant Statement'!$C$6),"")</f>
        <v/>
      </c>
    </row>
    <row r="538">
      <c r="B538" s="41" t="n"/>
      <c r="C538" s="18" t="n"/>
      <c r="D538" s="42">
        <f>IF(C538="","",IFERROR(INDEX(TenantProperty,MATCH(C538,Tenants,0)),""))</f>
        <v/>
      </c>
      <c r="E538" s="42">
        <f>IF(C538="","",IFERROR(INDEX(TenantUnit,MATCH(C538,Tenants,0)),""))</f>
        <v/>
      </c>
      <c r="F538" s="18" t="n"/>
      <c r="G538" s="18" t="n"/>
      <c r="H538" s="18" t="n"/>
      <c r="I538" s="18" t="n"/>
      <c r="J538" s="37" t="n"/>
      <c r="K538" s="37" t="n"/>
      <c r="L538" s="43">
        <f>IF(C538="","",SUMIFS($J$7:J538,$C$7:C538,C538)-SUMIFS($K$7:K538,$C$7:C538,C538))</f>
        <v/>
      </c>
      <c r="N538">
        <f>IF(AND(C538&lt;&gt;"",C538='Tenant Statement'!$C$6),COUNTIF($C$7:C538,'Tenant Statement'!$C$6),"")</f>
        <v/>
      </c>
    </row>
    <row r="539">
      <c r="B539" s="41" t="n"/>
      <c r="C539" s="18" t="n"/>
      <c r="D539" s="42">
        <f>IF(C539="","",IFERROR(INDEX(TenantProperty,MATCH(C539,Tenants,0)),""))</f>
        <v/>
      </c>
      <c r="E539" s="42">
        <f>IF(C539="","",IFERROR(INDEX(TenantUnit,MATCH(C539,Tenants,0)),""))</f>
        <v/>
      </c>
      <c r="F539" s="18" t="n"/>
      <c r="G539" s="18" t="n"/>
      <c r="H539" s="18" t="n"/>
      <c r="I539" s="18" t="n"/>
      <c r="J539" s="37" t="n"/>
      <c r="K539" s="37" t="n"/>
      <c r="L539" s="43">
        <f>IF(C539="","",SUMIFS($J$7:J539,$C$7:C539,C539)-SUMIFS($K$7:K539,$C$7:C539,C539))</f>
        <v/>
      </c>
      <c r="N539">
        <f>IF(AND(C539&lt;&gt;"",C539='Tenant Statement'!$C$6),COUNTIF($C$7:C539,'Tenant Statement'!$C$6),"")</f>
        <v/>
      </c>
    </row>
    <row r="540">
      <c r="B540" s="41" t="n"/>
      <c r="C540" s="18" t="n"/>
      <c r="D540" s="42">
        <f>IF(C540="","",IFERROR(INDEX(TenantProperty,MATCH(C540,Tenants,0)),""))</f>
        <v/>
      </c>
      <c r="E540" s="42">
        <f>IF(C540="","",IFERROR(INDEX(TenantUnit,MATCH(C540,Tenants,0)),""))</f>
        <v/>
      </c>
      <c r="F540" s="18" t="n"/>
      <c r="G540" s="18" t="n"/>
      <c r="H540" s="18" t="n"/>
      <c r="I540" s="18" t="n"/>
      <c r="J540" s="37" t="n"/>
      <c r="K540" s="37" t="n"/>
      <c r="L540" s="43">
        <f>IF(C540="","",SUMIFS($J$7:J540,$C$7:C540,C540)-SUMIFS($K$7:K540,$C$7:C540,C540))</f>
        <v/>
      </c>
      <c r="N540">
        <f>IF(AND(C540&lt;&gt;"",C540='Tenant Statement'!$C$6),COUNTIF($C$7:C540,'Tenant Statement'!$C$6),"")</f>
        <v/>
      </c>
    </row>
    <row r="541">
      <c r="B541" s="41" t="n"/>
      <c r="C541" s="18" t="n"/>
      <c r="D541" s="42">
        <f>IF(C541="","",IFERROR(INDEX(TenantProperty,MATCH(C541,Tenants,0)),""))</f>
        <v/>
      </c>
      <c r="E541" s="42">
        <f>IF(C541="","",IFERROR(INDEX(TenantUnit,MATCH(C541,Tenants,0)),""))</f>
        <v/>
      </c>
      <c r="F541" s="18" t="n"/>
      <c r="G541" s="18" t="n"/>
      <c r="H541" s="18" t="n"/>
      <c r="I541" s="18" t="n"/>
      <c r="J541" s="37" t="n"/>
      <c r="K541" s="37" t="n"/>
      <c r="L541" s="43">
        <f>IF(C541="","",SUMIFS($J$7:J541,$C$7:C541,C541)-SUMIFS($K$7:K541,$C$7:C541,C541))</f>
        <v/>
      </c>
      <c r="N541">
        <f>IF(AND(C541&lt;&gt;"",C541='Tenant Statement'!$C$6),COUNTIF($C$7:C541,'Tenant Statement'!$C$6),"")</f>
        <v/>
      </c>
    </row>
    <row r="542">
      <c r="B542" s="41" t="n"/>
      <c r="C542" s="18" t="n"/>
      <c r="D542" s="42">
        <f>IF(C542="","",IFERROR(INDEX(TenantProperty,MATCH(C542,Tenants,0)),""))</f>
        <v/>
      </c>
      <c r="E542" s="42">
        <f>IF(C542="","",IFERROR(INDEX(TenantUnit,MATCH(C542,Tenants,0)),""))</f>
        <v/>
      </c>
      <c r="F542" s="18" t="n"/>
      <c r="G542" s="18" t="n"/>
      <c r="H542" s="18" t="n"/>
      <c r="I542" s="18" t="n"/>
      <c r="J542" s="37" t="n"/>
      <c r="K542" s="37" t="n"/>
      <c r="L542" s="43">
        <f>IF(C542="","",SUMIFS($J$7:J542,$C$7:C542,C542)-SUMIFS($K$7:K542,$C$7:C542,C542))</f>
        <v/>
      </c>
      <c r="N542">
        <f>IF(AND(C542&lt;&gt;"",C542='Tenant Statement'!$C$6),COUNTIF($C$7:C542,'Tenant Statement'!$C$6),"")</f>
        <v/>
      </c>
    </row>
    <row r="543">
      <c r="B543" s="41" t="n"/>
      <c r="C543" s="18" t="n"/>
      <c r="D543" s="42">
        <f>IF(C543="","",IFERROR(INDEX(TenantProperty,MATCH(C543,Tenants,0)),""))</f>
        <v/>
      </c>
      <c r="E543" s="42">
        <f>IF(C543="","",IFERROR(INDEX(TenantUnit,MATCH(C543,Tenants,0)),""))</f>
        <v/>
      </c>
      <c r="F543" s="18" t="n"/>
      <c r="G543" s="18" t="n"/>
      <c r="H543" s="18" t="n"/>
      <c r="I543" s="18" t="n"/>
      <c r="J543" s="37" t="n"/>
      <c r="K543" s="37" t="n"/>
      <c r="L543" s="43">
        <f>IF(C543="","",SUMIFS($J$7:J543,$C$7:C543,C543)-SUMIFS($K$7:K543,$C$7:C543,C543))</f>
        <v/>
      </c>
      <c r="N543">
        <f>IF(AND(C543&lt;&gt;"",C543='Tenant Statement'!$C$6),COUNTIF($C$7:C543,'Tenant Statement'!$C$6),"")</f>
        <v/>
      </c>
    </row>
    <row r="544">
      <c r="B544" s="41" t="n"/>
      <c r="C544" s="18" t="n"/>
      <c r="D544" s="42">
        <f>IF(C544="","",IFERROR(INDEX(TenantProperty,MATCH(C544,Tenants,0)),""))</f>
        <v/>
      </c>
      <c r="E544" s="42">
        <f>IF(C544="","",IFERROR(INDEX(TenantUnit,MATCH(C544,Tenants,0)),""))</f>
        <v/>
      </c>
      <c r="F544" s="18" t="n"/>
      <c r="G544" s="18" t="n"/>
      <c r="H544" s="18" t="n"/>
      <c r="I544" s="18" t="n"/>
      <c r="J544" s="37" t="n"/>
      <c r="K544" s="37" t="n"/>
      <c r="L544" s="43">
        <f>IF(C544="","",SUMIFS($J$7:J544,$C$7:C544,C544)-SUMIFS($K$7:K544,$C$7:C544,C544))</f>
        <v/>
      </c>
      <c r="N544">
        <f>IF(AND(C544&lt;&gt;"",C544='Tenant Statement'!$C$6),COUNTIF($C$7:C544,'Tenant Statement'!$C$6),"")</f>
        <v/>
      </c>
    </row>
    <row r="545">
      <c r="B545" s="41" t="n"/>
      <c r="C545" s="18" t="n"/>
      <c r="D545" s="42">
        <f>IF(C545="","",IFERROR(INDEX(TenantProperty,MATCH(C545,Tenants,0)),""))</f>
        <v/>
      </c>
      <c r="E545" s="42">
        <f>IF(C545="","",IFERROR(INDEX(TenantUnit,MATCH(C545,Tenants,0)),""))</f>
        <v/>
      </c>
      <c r="F545" s="18" t="n"/>
      <c r="G545" s="18" t="n"/>
      <c r="H545" s="18" t="n"/>
      <c r="I545" s="18" t="n"/>
      <c r="J545" s="37" t="n"/>
      <c r="K545" s="37" t="n"/>
      <c r="L545" s="43">
        <f>IF(C545="","",SUMIFS($J$7:J545,$C$7:C545,C545)-SUMIFS($K$7:K545,$C$7:C545,C545))</f>
        <v/>
      </c>
      <c r="N545">
        <f>IF(AND(C545&lt;&gt;"",C545='Tenant Statement'!$C$6),COUNTIF($C$7:C545,'Tenant Statement'!$C$6),"")</f>
        <v/>
      </c>
    </row>
    <row r="546">
      <c r="B546" s="41" t="n"/>
      <c r="C546" s="18" t="n"/>
      <c r="D546" s="42">
        <f>IF(C546="","",IFERROR(INDEX(TenantProperty,MATCH(C546,Tenants,0)),""))</f>
        <v/>
      </c>
      <c r="E546" s="42">
        <f>IF(C546="","",IFERROR(INDEX(TenantUnit,MATCH(C546,Tenants,0)),""))</f>
        <v/>
      </c>
      <c r="F546" s="18" t="n"/>
      <c r="G546" s="18" t="n"/>
      <c r="H546" s="18" t="n"/>
      <c r="I546" s="18" t="n"/>
      <c r="J546" s="37" t="n"/>
      <c r="K546" s="37" t="n"/>
      <c r="L546" s="43">
        <f>IF(C546="","",SUMIFS($J$7:J546,$C$7:C546,C546)-SUMIFS($K$7:K546,$C$7:C546,C546))</f>
        <v/>
      </c>
      <c r="N546">
        <f>IF(AND(C546&lt;&gt;"",C546='Tenant Statement'!$C$6),COUNTIF($C$7:C546,'Tenant Statement'!$C$6),"")</f>
        <v/>
      </c>
    </row>
    <row r="547">
      <c r="B547" s="41" t="n"/>
      <c r="C547" s="18" t="n"/>
      <c r="D547" s="42">
        <f>IF(C547="","",IFERROR(INDEX(TenantProperty,MATCH(C547,Tenants,0)),""))</f>
        <v/>
      </c>
      <c r="E547" s="42">
        <f>IF(C547="","",IFERROR(INDEX(TenantUnit,MATCH(C547,Tenants,0)),""))</f>
        <v/>
      </c>
      <c r="F547" s="18" t="n"/>
      <c r="G547" s="18" t="n"/>
      <c r="H547" s="18" t="n"/>
      <c r="I547" s="18" t="n"/>
      <c r="J547" s="37" t="n"/>
      <c r="K547" s="37" t="n"/>
      <c r="L547" s="43">
        <f>IF(C547="","",SUMIFS($J$7:J547,$C$7:C547,C547)-SUMIFS($K$7:K547,$C$7:C547,C547))</f>
        <v/>
      </c>
      <c r="N547">
        <f>IF(AND(C547&lt;&gt;"",C547='Tenant Statement'!$C$6),COUNTIF($C$7:C547,'Tenant Statement'!$C$6),"")</f>
        <v/>
      </c>
    </row>
    <row r="548">
      <c r="B548" s="41" t="n"/>
      <c r="C548" s="18" t="n"/>
      <c r="D548" s="42">
        <f>IF(C548="","",IFERROR(INDEX(TenantProperty,MATCH(C548,Tenants,0)),""))</f>
        <v/>
      </c>
      <c r="E548" s="42">
        <f>IF(C548="","",IFERROR(INDEX(TenantUnit,MATCH(C548,Tenants,0)),""))</f>
        <v/>
      </c>
      <c r="F548" s="18" t="n"/>
      <c r="G548" s="18" t="n"/>
      <c r="H548" s="18" t="n"/>
      <c r="I548" s="18" t="n"/>
      <c r="J548" s="37" t="n"/>
      <c r="K548" s="37" t="n"/>
      <c r="L548" s="43">
        <f>IF(C548="","",SUMIFS($J$7:J548,$C$7:C548,C548)-SUMIFS($K$7:K548,$C$7:C548,C548))</f>
        <v/>
      </c>
      <c r="N548">
        <f>IF(AND(C548&lt;&gt;"",C548='Tenant Statement'!$C$6),COUNTIF($C$7:C548,'Tenant Statement'!$C$6),"")</f>
        <v/>
      </c>
    </row>
    <row r="549">
      <c r="B549" s="41" t="n"/>
      <c r="C549" s="18" t="n"/>
      <c r="D549" s="42">
        <f>IF(C549="","",IFERROR(INDEX(TenantProperty,MATCH(C549,Tenants,0)),""))</f>
        <v/>
      </c>
      <c r="E549" s="42">
        <f>IF(C549="","",IFERROR(INDEX(TenantUnit,MATCH(C549,Tenants,0)),""))</f>
        <v/>
      </c>
      <c r="F549" s="18" t="n"/>
      <c r="G549" s="18" t="n"/>
      <c r="H549" s="18" t="n"/>
      <c r="I549" s="18" t="n"/>
      <c r="J549" s="37" t="n"/>
      <c r="K549" s="37" t="n"/>
      <c r="L549" s="43">
        <f>IF(C549="","",SUMIFS($J$7:J549,$C$7:C549,C549)-SUMIFS($K$7:K549,$C$7:C549,C549))</f>
        <v/>
      </c>
      <c r="N549">
        <f>IF(AND(C549&lt;&gt;"",C549='Tenant Statement'!$C$6),COUNTIF($C$7:C549,'Tenant Statement'!$C$6),"")</f>
        <v/>
      </c>
    </row>
    <row r="550">
      <c r="B550" s="41" t="n"/>
      <c r="C550" s="18" t="n"/>
      <c r="D550" s="42">
        <f>IF(C550="","",IFERROR(INDEX(TenantProperty,MATCH(C550,Tenants,0)),""))</f>
        <v/>
      </c>
      <c r="E550" s="42">
        <f>IF(C550="","",IFERROR(INDEX(TenantUnit,MATCH(C550,Tenants,0)),""))</f>
        <v/>
      </c>
      <c r="F550" s="18" t="n"/>
      <c r="G550" s="18" t="n"/>
      <c r="H550" s="18" t="n"/>
      <c r="I550" s="18" t="n"/>
      <c r="J550" s="37" t="n"/>
      <c r="K550" s="37" t="n"/>
      <c r="L550" s="43">
        <f>IF(C550="","",SUMIFS($J$7:J550,$C$7:C550,C550)-SUMIFS($K$7:K550,$C$7:C550,C550))</f>
        <v/>
      </c>
      <c r="N550">
        <f>IF(AND(C550&lt;&gt;"",C550='Tenant Statement'!$C$6),COUNTIF($C$7:C550,'Tenant Statement'!$C$6),"")</f>
        <v/>
      </c>
    </row>
    <row r="551">
      <c r="B551" s="41" t="n"/>
      <c r="C551" s="18" t="n"/>
      <c r="D551" s="42">
        <f>IF(C551="","",IFERROR(INDEX(TenantProperty,MATCH(C551,Tenants,0)),""))</f>
        <v/>
      </c>
      <c r="E551" s="42">
        <f>IF(C551="","",IFERROR(INDEX(TenantUnit,MATCH(C551,Tenants,0)),""))</f>
        <v/>
      </c>
      <c r="F551" s="18" t="n"/>
      <c r="G551" s="18" t="n"/>
      <c r="H551" s="18" t="n"/>
      <c r="I551" s="18" t="n"/>
      <c r="J551" s="37" t="n"/>
      <c r="K551" s="37" t="n"/>
      <c r="L551" s="43">
        <f>IF(C551="","",SUMIFS($J$7:J551,$C$7:C551,C551)-SUMIFS($K$7:K551,$C$7:C551,C551))</f>
        <v/>
      </c>
      <c r="N551">
        <f>IF(AND(C551&lt;&gt;"",C551='Tenant Statement'!$C$6),COUNTIF($C$7:C551,'Tenant Statement'!$C$6),"")</f>
        <v/>
      </c>
    </row>
    <row r="552">
      <c r="B552" s="41" t="n"/>
      <c r="C552" s="18" t="n"/>
      <c r="D552" s="42">
        <f>IF(C552="","",IFERROR(INDEX(TenantProperty,MATCH(C552,Tenants,0)),""))</f>
        <v/>
      </c>
      <c r="E552" s="42">
        <f>IF(C552="","",IFERROR(INDEX(TenantUnit,MATCH(C552,Tenants,0)),""))</f>
        <v/>
      </c>
      <c r="F552" s="18" t="n"/>
      <c r="G552" s="18" t="n"/>
      <c r="H552" s="18" t="n"/>
      <c r="I552" s="18" t="n"/>
      <c r="J552" s="37" t="n"/>
      <c r="K552" s="37" t="n"/>
      <c r="L552" s="43">
        <f>IF(C552="","",SUMIFS($J$7:J552,$C$7:C552,C552)-SUMIFS($K$7:K552,$C$7:C552,C552))</f>
        <v/>
      </c>
      <c r="N552">
        <f>IF(AND(C552&lt;&gt;"",C552='Tenant Statement'!$C$6),COUNTIF($C$7:C552,'Tenant Statement'!$C$6),"")</f>
        <v/>
      </c>
    </row>
    <row r="553">
      <c r="B553" s="41" t="n"/>
      <c r="C553" s="18" t="n"/>
      <c r="D553" s="42">
        <f>IF(C553="","",IFERROR(INDEX(TenantProperty,MATCH(C553,Tenants,0)),""))</f>
        <v/>
      </c>
      <c r="E553" s="42">
        <f>IF(C553="","",IFERROR(INDEX(TenantUnit,MATCH(C553,Tenants,0)),""))</f>
        <v/>
      </c>
      <c r="F553" s="18" t="n"/>
      <c r="G553" s="18" t="n"/>
      <c r="H553" s="18" t="n"/>
      <c r="I553" s="18" t="n"/>
      <c r="J553" s="37" t="n"/>
      <c r="K553" s="37" t="n"/>
      <c r="L553" s="43">
        <f>IF(C553="","",SUMIFS($J$7:J553,$C$7:C553,C553)-SUMIFS($K$7:K553,$C$7:C553,C553))</f>
        <v/>
      </c>
      <c r="N553">
        <f>IF(AND(C553&lt;&gt;"",C553='Tenant Statement'!$C$6),COUNTIF($C$7:C553,'Tenant Statement'!$C$6),"")</f>
        <v/>
      </c>
    </row>
    <row r="554">
      <c r="B554" s="41" t="n"/>
      <c r="C554" s="18" t="n"/>
      <c r="D554" s="42">
        <f>IF(C554="","",IFERROR(INDEX(TenantProperty,MATCH(C554,Tenants,0)),""))</f>
        <v/>
      </c>
      <c r="E554" s="42">
        <f>IF(C554="","",IFERROR(INDEX(TenantUnit,MATCH(C554,Tenants,0)),""))</f>
        <v/>
      </c>
      <c r="F554" s="18" t="n"/>
      <c r="G554" s="18" t="n"/>
      <c r="H554" s="18" t="n"/>
      <c r="I554" s="18" t="n"/>
      <c r="J554" s="37" t="n"/>
      <c r="K554" s="37" t="n"/>
      <c r="L554" s="43">
        <f>IF(C554="","",SUMIFS($J$7:J554,$C$7:C554,C554)-SUMIFS($K$7:K554,$C$7:C554,C554))</f>
        <v/>
      </c>
      <c r="N554">
        <f>IF(AND(C554&lt;&gt;"",C554='Tenant Statement'!$C$6),COUNTIF($C$7:C554,'Tenant Statement'!$C$6),"")</f>
        <v/>
      </c>
    </row>
    <row r="555">
      <c r="B555" s="41" t="n"/>
      <c r="C555" s="18" t="n"/>
      <c r="D555" s="42">
        <f>IF(C555="","",IFERROR(INDEX(TenantProperty,MATCH(C555,Tenants,0)),""))</f>
        <v/>
      </c>
      <c r="E555" s="42">
        <f>IF(C555="","",IFERROR(INDEX(TenantUnit,MATCH(C555,Tenants,0)),""))</f>
        <v/>
      </c>
      <c r="F555" s="18" t="n"/>
      <c r="G555" s="18" t="n"/>
      <c r="H555" s="18" t="n"/>
      <c r="I555" s="18" t="n"/>
      <c r="J555" s="37" t="n"/>
      <c r="K555" s="37" t="n"/>
      <c r="L555" s="43">
        <f>IF(C555="","",SUMIFS($J$7:J555,$C$7:C555,C555)-SUMIFS($K$7:K555,$C$7:C555,C555))</f>
        <v/>
      </c>
      <c r="N555">
        <f>IF(AND(C555&lt;&gt;"",C555='Tenant Statement'!$C$6),COUNTIF($C$7:C555,'Tenant Statement'!$C$6),"")</f>
        <v/>
      </c>
    </row>
    <row r="556">
      <c r="B556" s="41" t="n"/>
      <c r="C556" s="18" t="n"/>
      <c r="D556" s="42">
        <f>IF(C556="","",IFERROR(INDEX(TenantProperty,MATCH(C556,Tenants,0)),""))</f>
        <v/>
      </c>
      <c r="E556" s="42">
        <f>IF(C556="","",IFERROR(INDEX(TenantUnit,MATCH(C556,Tenants,0)),""))</f>
        <v/>
      </c>
      <c r="F556" s="18" t="n"/>
      <c r="G556" s="18" t="n"/>
      <c r="H556" s="18" t="n"/>
      <c r="I556" s="18" t="n"/>
      <c r="J556" s="37" t="n"/>
      <c r="K556" s="37" t="n"/>
      <c r="L556" s="43">
        <f>IF(C556="","",SUMIFS($J$7:J556,$C$7:C556,C556)-SUMIFS($K$7:K556,$C$7:C556,C556))</f>
        <v/>
      </c>
      <c r="N556">
        <f>IF(AND(C556&lt;&gt;"",C556='Tenant Statement'!$C$6),COUNTIF($C$7:C556,'Tenant Statement'!$C$6),"")</f>
        <v/>
      </c>
    </row>
    <row r="557">
      <c r="B557" s="41" t="n"/>
      <c r="C557" s="18" t="n"/>
      <c r="D557" s="42">
        <f>IF(C557="","",IFERROR(INDEX(TenantProperty,MATCH(C557,Tenants,0)),""))</f>
        <v/>
      </c>
      <c r="E557" s="42">
        <f>IF(C557="","",IFERROR(INDEX(TenantUnit,MATCH(C557,Tenants,0)),""))</f>
        <v/>
      </c>
      <c r="F557" s="18" t="n"/>
      <c r="G557" s="18" t="n"/>
      <c r="H557" s="18" t="n"/>
      <c r="I557" s="18" t="n"/>
      <c r="J557" s="37" t="n"/>
      <c r="K557" s="37" t="n"/>
      <c r="L557" s="43">
        <f>IF(C557="","",SUMIFS($J$7:J557,$C$7:C557,C557)-SUMIFS($K$7:K557,$C$7:C557,C557))</f>
        <v/>
      </c>
      <c r="N557">
        <f>IF(AND(C557&lt;&gt;"",C557='Tenant Statement'!$C$6),COUNTIF($C$7:C557,'Tenant Statement'!$C$6),"")</f>
        <v/>
      </c>
    </row>
    <row r="558">
      <c r="B558" s="41" t="n"/>
      <c r="C558" s="18" t="n"/>
      <c r="D558" s="42">
        <f>IF(C558="","",IFERROR(INDEX(TenantProperty,MATCH(C558,Tenants,0)),""))</f>
        <v/>
      </c>
      <c r="E558" s="42">
        <f>IF(C558="","",IFERROR(INDEX(TenantUnit,MATCH(C558,Tenants,0)),""))</f>
        <v/>
      </c>
      <c r="F558" s="18" t="n"/>
      <c r="G558" s="18" t="n"/>
      <c r="H558" s="18" t="n"/>
      <c r="I558" s="18" t="n"/>
      <c r="J558" s="37" t="n"/>
      <c r="K558" s="37" t="n"/>
      <c r="L558" s="43">
        <f>IF(C558="","",SUMIFS($J$7:J558,$C$7:C558,C558)-SUMIFS($K$7:K558,$C$7:C558,C558))</f>
        <v/>
      </c>
      <c r="N558">
        <f>IF(AND(C558&lt;&gt;"",C558='Tenant Statement'!$C$6),COUNTIF($C$7:C558,'Tenant Statement'!$C$6),"")</f>
        <v/>
      </c>
    </row>
    <row r="559">
      <c r="B559" s="41" t="n"/>
      <c r="C559" s="18" t="n"/>
      <c r="D559" s="42">
        <f>IF(C559="","",IFERROR(INDEX(TenantProperty,MATCH(C559,Tenants,0)),""))</f>
        <v/>
      </c>
      <c r="E559" s="42">
        <f>IF(C559="","",IFERROR(INDEX(TenantUnit,MATCH(C559,Tenants,0)),""))</f>
        <v/>
      </c>
      <c r="F559" s="18" t="n"/>
      <c r="G559" s="18" t="n"/>
      <c r="H559" s="18" t="n"/>
      <c r="I559" s="18" t="n"/>
      <c r="J559" s="37" t="n"/>
      <c r="K559" s="37" t="n"/>
      <c r="L559" s="43">
        <f>IF(C559="","",SUMIFS($J$7:J559,$C$7:C559,C559)-SUMIFS($K$7:K559,$C$7:C559,C559))</f>
        <v/>
      </c>
      <c r="N559">
        <f>IF(AND(C559&lt;&gt;"",C559='Tenant Statement'!$C$6),COUNTIF($C$7:C559,'Tenant Statement'!$C$6),"")</f>
        <v/>
      </c>
    </row>
    <row r="560">
      <c r="B560" s="41" t="n"/>
      <c r="C560" s="18" t="n"/>
      <c r="D560" s="42">
        <f>IF(C560="","",IFERROR(INDEX(TenantProperty,MATCH(C560,Tenants,0)),""))</f>
        <v/>
      </c>
      <c r="E560" s="42">
        <f>IF(C560="","",IFERROR(INDEX(TenantUnit,MATCH(C560,Tenants,0)),""))</f>
        <v/>
      </c>
      <c r="F560" s="18" t="n"/>
      <c r="G560" s="18" t="n"/>
      <c r="H560" s="18" t="n"/>
      <c r="I560" s="18" t="n"/>
      <c r="J560" s="37" t="n"/>
      <c r="K560" s="37" t="n"/>
      <c r="L560" s="43">
        <f>IF(C560="","",SUMIFS($J$7:J560,$C$7:C560,C560)-SUMIFS($K$7:K560,$C$7:C560,C560))</f>
        <v/>
      </c>
      <c r="N560">
        <f>IF(AND(C560&lt;&gt;"",C560='Tenant Statement'!$C$6),COUNTIF($C$7:C560,'Tenant Statement'!$C$6),"")</f>
        <v/>
      </c>
    </row>
    <row r="561">
      <c r="B561" s="41" t="n"/>
      <c r="C561" s="18" t="n"/>
      <c r="D561" s="42">
        <f>IF(C561="","",IFERROR(INDEX(TenantProperty,MATCH(C561,Tenants,0)),""))</f>
        <v/>
      </c>
      <c r="E561" s="42">
        <f>IF(C561="","",IFERROR(INDEX(TenantUnit,MATCH(C561,Tenants,0)),""))</f>
        <v/>
      </c>
      <c r="F561" s="18" t="n"/>
      <c r="G561" s="18" t="n"/>
      <c r="H561" s="18" t="n"/>
      <c r="I561" s="18" t="n"/>
      <c r="J561" s="37" t="n"/>
      <c r="K561" s="37" t="n"/>
      <c r="L561" s="43">
        <f>IF(C561="","",SUMIFS($J$7:J561,$C$7:C561,C561)-SUMIFS($K$7:K561,$C$7:C561,C561))</f>
        <v/>
      </c>
      <c r="N561">
        <f>IF(AND(C561&lt;&gt;"",C561='Tenant Statement'!$C$6),COUNTIF($C$7:C561,'Tenant Statement'!$C$6),"")</f>
        <v/>
      </c>
    </row>
    <row r="562">
      <c r="B562" s="41" t="n"/>
      <c r="C562" s="18" t="n"/>
      <c r="D562" s="42">
        <f>IF(C562="","",IFERROR(INDEX(TenantProperty,MATCH(C562,Tenants,0)),""))</f>
        <v/>
      </c>
      <c r="E562" s="42">
        <f>IF(C562="","",IFERROR(INDEX(TenantUnit,MATCH(C562,Tenants,0)),""))</f>
        <v/>
      </c>
      <c r="F562" s="18" t="n"/>
      <c r="G562" s="18" t="n"/>
      <c r="H562" s="18" t="n"/>
      <c r="I562" s="18" t="n"/>
      <c r="J562" s="37" t="n"/>
      <c r="K562" s="37" t="n"/>
      <c r="L562" s="43">
        <f>IF(C562="","",SUMIFS($J$7:J562,$C$7:C562,C562)-SUMIFS($K$7:K562,$C$7:C562,C562))</f>
        <v/>
      </c>
      <c r="N562">
        <f>IF(AND(C562&lt;&gt;"",C562='Tenant Statement'!$C$6),COUNTIF($C$7:C562,'Tenant Statement'!$C$6),"")</f>
        <v/>
      </c>
    </row>
    <row r="563">
      <c r="B563" s="41" t="n"/>
      <c r="C563" s="18" t="n"/>
      <c r="D563" s="42">
        <f>IF(C563="","",IFERROR(INDEX(TenantProperty,MATCH(C563,Tenants,0)),""))</f>
        <v/>
      </c>
      <c r="E563" s="42">
        <f>IF(C563="","",IFERROR(INDEX(TenantUnit,MATCH(C563,Tenants,0)),""))</f>
        <v/>
      </c>
      <c r="F563" s="18" t="n"/>
      <c r="G563" s="18" t="n"/>
      <c r="H563" s="18" t="n"/>
      <c r="I563" s="18" t="n"/>
      <c r="J563" s="37" t="n"/>
      <c r="K563" s="37" t="n"/>
      <c r="L563" s="43">
        <f>IF(C563="","",SUMIFS($J$7:J563,$C$7:C563,C563)-SUMIFS($K$7:K563,$C$7:C563,C563))</f>
        <v/>
      </c>
      <c r="N563">
        <f>IF(AND(C563&lt;&gt;"",C563='Tenant Statement'!$C$6),COUNTIF($C$7:C563,'Tenant Statement'!$C$6),"")</f>
        <v/>
      </c>
    </row>
    <row r="564">
      <c r="B564" s="41" t="n"/>
      <c r="C564" s="18" t="n"/>
      <c r="D564" s="42">
        <f>IF(C564="","",IFERROR(INDEX(TenantProperty,MATCH(C564,Tenants,0)),""))</f>
        <v/>
      </c>
      <c r="E564" s="42">
        <f>IF(C564="","",IFERROR(INDEX(TenantUnit,MATCH(C564,Tenants,0)),""))</f>
        <v/>
      </c>
      <c r="F564" s="18" t="n"/>
      <c r="G564" s="18" t="n"/>
      <c r="H564" s="18" t="n"/>
      <c r="I564" s="18" t="n"/>
      <c r="J564" s="37" t="n"/>
      <c r="K564" s="37" t="n"/>
      <c r="L564" s="43">
        <f>IF(C564="","",SUMIFS($J$7:J564,$C$7:C564,C564)-SUMIFS($K$7:K564,$C$7:C564,C564))</f>
        <v/>
      </c>
      <c r="N564">
        <f>IF(AND(C564&lt;&gt;"",C564='Tenant Statement'!$C$6),COUNTIF($C$7:C564,'Tenant Statement'!$C$6),"")</f>
        <v/>
      </c>
    </row>
    <row r="565">
      <c r="B565" s="41" t="n"/>
      <c r="C565" s="18" t="n"/>
      <c r="D565" s="42">
        <f>IF(C565="","",IFERROR(INDEX(TenantProperty,MATCH(C565,Tenants,0)),""))</f>
        <v/>
      </c>
      <c r="E565" s="42">
        <f>IF(C565="","",IFERROR(INDEX(TenantUnit,MATCH(C565,Tenants,0)),""))</f>
        <v/>
      </c>
      <c r="F565" s="18" t="n"/>
      <c r="G565" s="18" t="n"/>
      <c r="H565" s="18" t="n"/>
      <c r="I565" s="18" t="n"/>
      <c r="J565" s="37" t="n"/>
      <c r="K565" s="37" t="n"/>
      <c r="L565" s="43">
        <f>IF(C565="","",SUMIFS($J$7:J565,$C$7:C565,C565)-SUMIFS($K$7:K565,$C$7:C565,C565))</f>
        <v/>
      </c>
      <c r="N565">
        <f>IF(AND(C565&lt;&gt;"",C565='Tenant Statement'!$C$6),COUNTIF($C$7:C565,'Tenant Statement'!$C$6),"")</f>
        <v/>
      </c>
    </row>
    <row r="566">
      <c r="B566" s="41" t="n"/>
      <c r="C566" s="18" t="n"/>
      <c r="D566" s="42">
        <f>IF(C566="","",IFERROR(INDEX(TenantProperty,MATCH(C566,Tenants,0)),""))</f>
        <v/>
      </c>
      <c r="E566" s="42">
        <f>IF(C566="","",IFERROR(INDEX(TenantUnit,MATCH(C566,Tenants,0)),""))</f>
        <v/>
      </c>
      <c r="F566" s="18" t="n"/>
      <c r="G566" s="18" t="n"/>
      <c r="H566" s="18" t="n"/>
      <c r="I566" s="18" t="n"/>
      <c r="J566" s="37" t="n"/>
      <c r="K566" s="37" t="n"/>
      <c r="L566" s="43">
        <f>IF(C566="","",SUMIFS($J$7:J566,$C$7:C566,C566)-SUMIFS($K$7:K566,$C$7:C566,C566))</f>
        <v/>
      </c>
      <c r="N566">
        <f>IF(AND(C566&lt;&gt;"",C566='Tenant Statement'!$C$6),COUNTIF($C$7:C566,'Tenant Statement'!$C$6),"")</f>
        <v/>
      </c>
    </row>
    <row r="567">
      <c r="B567" s="41" t="n"/>
      <c r="C567" s="18" t="n"/>
      <c r="D567" s="42">
        <f>IF(C567="","",IFERROR(INDEX(TenantProperty,MATCH(C567,Tenants,0)),""))</f>
        <v/>
      </c>
      <c r="E567" s="42">
        <f>IF(C567="","",IFERROR(INDEX(TenantUnit,MATCH(C567,Tenants,0)),""))</f>
        <v/>
      </c>
      <c r="F567" s="18" t="n"/>
      <c r="G567" s="18" t="n"/>
      <c r="H567" s="18" t="n"/>
      <c r="I567" s="18" t="n"/>
      <c r="J567" s="37" t="n"/>
      <c r="K567" s="37" t="n"/>
      <c r="L567" s="43">
        <f>IF(C567="","",SUMIFS($J$7:J567,$C$7:C567,C567)-SUMIFS($K$7:K567,$C$7:C567,C567))</f>
        <v/>
      </c>
      <c r="N567">
        <f>IF(AND(C567&lt;&gt;"",C567='Tenant Statement'!$C$6),COUNTIF($C$7:C567,'Tenant Statement'!$C$6),"")</f>
        <v/>
      </c>
    </row>
    <row r="568">
      <c r="B568" s="41" t="n"/>
      <c r="C568" s="18" t="n"/>
      <c r="D568" s="42">
        <f>IF(C568="","",IFERROR(INDEX(TenantProperty,MATCH(C568,Tenants,0)),""))</f>
        <v/>
      </c>
      <c r="E568" s="42">
        <f>IF(C568="","",IFERROR(INDEX(TenantUnit,MATCH(C568,Tenants,0)),""))</f>
        <v/>
      </c>
      <c r="F568" s="18" t="n"/>
      <c r="G568" s="18" t="n"/>
      <c r="H568" s="18" t="n"/>
      <c r="I568" s="18" t="n"/>
      <c r="J568" s="37" t="n"/>
      <c r="K568" s="37" t="n"/>
      <c r="L568" s="43">
        <f>IF(C568="","",SUMIFS($J$7:J568,$C$7:C568,C568)-SUMIFS($K$7:K568,$C$7:C568,C568))</f>
        <v/>
      </c>
      <c r="N568">
        <f>IF(AND(C568&lt;&gt;"",C568='Tenant Statement'!$C$6),COUNTIF($C$7:C568,'Tenant Statement'!$C$6),"")</f>
        <v/>
      </c>
    </row>
    <row r="569">
      <c r="B569" s="41" t="n"/>
      <c r="C569" s="18" t="n"/>
      <c r="D569" s="42">
        <f>IF(C569="","",IFERROR(INDEX(TenantProperty,MATCH(C569,Tenants,0)),""))</f>
        <v/>
      </c>
      <c r="E569" s="42">
        <f>IF(C569="","",IFERROR(INDEX(TenantUnit,MATCH(C569,Tenants,0)),""))</f>
        <v/>
      </c>
      <c r="F569" s="18" t="n"/>
      <c r="G569" s="18" t="n"/>
      <c r="H569" s="18" t="n"/>
      <c r="I569" s="18" t="n"/>
      <c r="J569" s="37" t="n"/>
      <c r="K569" s="37" t="n"/>
      <c r="L569" s="43">
        <f>IF(C569="","",SUMIFS($J$7:J569,$C$7:C569,C569)-SUMIFS($K$7:K569,$C$7:C569,C569))</f>
        <v/>
      </c>
      <c r="N569">
        <f>IF(AND(C569&lt;&gt;"",C569='Tenant Statement'!$C$6),COUNTIF($C$7:C569,'Tenant Statement'!$C$6),"")</f>
        <v/>
      </c>
    </row>
    <row r="570">
      <c r="B570" s="41" t="n"/>
      <c r="C570" s="18" t="n"/>
      <c r="D570" s="42">
        <f>IF(C570="","",IFERROR(INDEX(TenantProperty,MATCH(C570,Tenants,0)),""))</f>
        <v/>
      </c>
      <c r="E570" s="42">
        <f>IF(C570="","",IFERROR(INDEX(TenantUnit,MATCH(C570,Tenants,0)),""))</f>
        <v/>
      </c>
      <c r="F570" s="18" t="n"/>
      <c r="G570" s="18" t="n"/>
      <c r="H570" s="18" t="n"/>
      <c r="I570" s="18" t="n"/>
      <c r="J570" s="37" t="n"/>
      <c r="K570" s="37" t="n"/>
      <c r="L570" s="43">
        <f>IF(C570="","",SUMIFS($J$7:J570,$C$7:C570,C570)-SUMIFS($K$7:K570,$C$7:C570,C570))</f>
        <v/>
      </c>
      <c r="N570">
        <f>IF(AND(C570&lt;&gt;"",C570='Tenant Statement'!$C$6),COUNTIF($C$7:C570,'Tenant Statement'!$C$6),"")</f>
        <v/>
      </c>
    </row>
    <row r="571">
      <c r="B571" s="41" t="n"/>
      <c r="C571" s="18" t="n"/>
      <c r="D571" s="42">
        <f>IF(C571="","",IFERROR(INDEX(TenantProperty,MATCH(C571,Tenants,0)),""))</f>
        <v/>
      </c>
      <c r="E571" s="42">
        <f>IF(C571="","",IFERROR(INDEX(TenantUnit,MATCH(C571,Tenants,0)),""))</f>
        <v/>
      </c>
      <c r="F571" s="18" t="n"/>
      <c r="G571" s="18" t="n"/>
      <c r="H571" s="18" t="n"/>
      <c r="I571" s="18" t="n"/>
      <c r="J571" s="37" t="n"/>
      <c r="K571" s="37" t="n"/>
      <c r="L571" s="43">
        <f>IF(C571="","",SUMIFS($J$7:J571,$C$7:C571,C571)-SUMIFS($K$7:K571,$C$7:C571,C571))</f>
        <v/>
      </c>
      <c r="N571">
        <f>IF(AND(C571&lt;&gt;"",C571='Tenant Statement'!$C$6),COUNTIF($C$7:C571,'Tenant Statement'!$C$6),"")</f>
        <v/>
      </c>
    </row>
    <row r="572">
      <c r="B572" s="41" t="n"/>
      <c r="C572" s="18" t="n"/>
      <c r="D572" s="42">
        <f>IF(C572="","",IFERROR(INDEX(TenantProperty,MATCH(C572,Tenants,0)),""))</f>
        <v/>
      </c>
      <c r="E572" s="42">
        <f>IF(C572="","",IFERROR(INDEX(TenantUnit,MATCH(C572,Tenants,0)),""))</f>
        <v/>
      </c>
      <c r="F572" s="18" t="n"/>
      <c r="G572" s="18" t="n"/>
      <c r="H572" s="18" t="n"/>
      <c r="I572" s="18" t="n"/>
      <c r="J572" s="37" t="n"/>
      <c r="K572" s="37" t="n"/>
      <c r="L572" s="43">
        <f>IF(C572="","",SUMIFS($J$7:J572,$C$7:C572,C572)-SUMIFS($K$7:K572,$C$7:C572,C572))</f>
        <v/>
      </c>
      <c r="N572">
        <f>IF(AND(C572&lt;&gt;"",C572='Tenant Statement'!$C$6),COUNTIF($C$7:C572,'Tenant Statement'!$C$6),"")</f>
        <v/>
      </c>
    </row>
    <row r="573">
      <c r="B573" s="41" t="n"/>
      <c r="C573" s="18" t="n"/>
      <c r="D573" s="42">
        <f>IF(C573="","",IFERROR(INDEX(TenantProperty,MATCH(C573,Tenants,0)),""))</f>
        <v/>
      </c>
      <c r="E573" s="42">
        <f>IF(C573="","",IFERROR(INDEX(TenantUnit,MATCH(C573,Tenants,0)),""))</f>
        <v/>
      </c>
      <c r="F573" s="18" t="n"/>
      <c r="G573" s="18" t="n"/>
      <c r="H573" s="18" t="n"/>
      <c r="I573" s="18" t="n"/>
      <c r="J573" s="37" t="n"/>
      <c r="K573" s="37" t="n"/>
      <c r="L573" s="43">
        <f>IF(C573="","",SUMIFS($J$7:J573,$C$7:C573,C573)-SUMIFS($K$7:K573,$C$7:C573,C573))</f>
        <v/>
      </c>
      <c r="N573">
        <f>IF(AND(C573&lt;&gt;"",C573='Tenant Statement'!$C$6),COUNTIF($C$7:C573,'Tenant Statement'!$C$6),"")</f>
        <v/>
      </c>
    </row>
    <row r="574">
      <c r="B574" s="41" t="n"/>
      <c r="C574" s="18" t="n"/>
      <c r="D574" s="42">
        <f>IF(C574="","",IFERROR(INDEX(TenantProperty,MATCH(C574,Tenants,0)),""))</f>
        <v/>
      </c>
      <c r="E574" s="42">
        <f>IF(C574="","",IFERROR(INDEX(TenantUnit,MATCH(C574,Tenants,0)),""))</f>
        <v/>
      </c>
      <c r="F574" s="18" t="n"/>
      <c r="G574" s="18" t="n"/>
      <c r="H574" s="18" t="n"/>
      <c r="I574" s="18" t="n"/>
      <c r="J574" s="37" t="n"/>
      <c r="K574" s="37" t="n"/>
      <c r="L574" s="43">
        <f>IF(C574="","",SUMIFS($J$7:J574,$C$7:C574,C574)-SUMIFS($K$7:K574,$C$7:C574,C574))</f>
        <v/>
      </c>
      <c r="N574">
        <f>IF(AND(C574&lt;&gt;"",C574='Tenant Statement'!$C$6),COUNTIF($C$7:C574,'Tenant Statement'!$C$6),"")</f>
        <v/>
      </c>
    </row>
    <row r="575">
      <c r="B575" s="41" t="n"/>
      <c r="C575" s="18" t="n"/>
      <c r="D575" s="42">
        <f>IF(C575="","",IFERROR(INDEX(TenantProperty,MATCH(C575,Tenants,0)),""))</f>
        <v/>
      </c>
      <c r="E575" s="42">
        <f>IF(C575="","",IFERROR(INDEX(TenantUnit,MATCH(C575,Tenants,0)),""))</f>
        <v/>
      </c>
      <c r="F575" s="18" t="n"/>
      <c r="G575" s="18" t="n"/>
      <c r="H575" s="18" t="n"/>
      <c r="I575" s="18" t="n"/>
      <c r="J575" s="37" t="n"/>
      <c r="K575" s="37" t="n"/>
      <c r="L575" s="43">
        <f>IF(C575="","",SUMIFS($J$7:J575,$C$7:C575,C575)-SUMIFS($K$7:K575,$C$7:C575,C575))</f>
        <v/>
      </c>
      <c r="N575">
        <f>IF(AND(C575&lt;&gt;"",C575='Tenant Statement'!$C$6),COUNTIF($C$7:C575,'Tenant Statement'!$C$6),"")</f>
        <v/>
      </c>
    </row>
    <row r="576">
      <c r="B576" s="41" t="n"/>
      <c r="C576" s="18" t="n"/>
      <c r="D576" s="42">
        <f>IF(C576="","",IFERROR(INDEX(TenantProperty,MATCH(C576,Tenants,0)),""))</f>
        <v/>
      </c>
      <c r="E576" s="42">
        <f>IF(C576="","",IFERROR(INDEX(TenantUnit,MATCH(C576,Tenants,0)),""))</f>
        <v/>
      </c>
      <c r="F576" s="18" t="n"/>
      <c r="G576" s="18" t="n"/>
      <c r="H576" s="18" t="n"/>
      <c r="I576" s="18" t="n"/>
      <c r="J576" s="37" t="n"/>
      <c r="K576" s="37" t="n"/>
      <c r="L576" s="43">
        <f>IF(C576="","",SUMIFS($J$7:J576,$C$7:C576,C576)-SUMIFS($K$7:K576,$C$7:C576,C576))</f>
        <v/>
      </c>
      <c r="N576">
        <f>IF(AND(C576&lt;&gt;"",C576='Tenant Statement'!$C$6),COUNTIF($C$7:C576,'Tenant Statement'!$C$6),"")</f>
        <v/>
      </c>
    </row>
    <row r="577">
      <c r="B577" s="41" t="n"/>
      <c r="C577" s="18" t="n"/>
      <c r="D577" s="42">
        <f>IF(C577="","",IFERROR(INDEX(TenantProperty,MATCH(C577,Tenants,0)),""))</f>
        <v/>
      </c>
      <c r="E577" s="42">
        <f>IF(C577="","",IFERROR(INDEX(TenantUnit,MATCH(C577,Tenants,0)),""))</f>
        <v/>
      </c>
      <c r="F577" s="18" t="n"/>
      <c r="G577" s="18" t="n"/>
      <c r="H577" s="18" t="n"/>
      <c r="I577" s="18" t="n"/>
      <c r="J577" s="37" t="n"/>
      <c r="K577" s="37" t="n"/>
      <c r="L577" s="43">
        <f>IF(C577="","",SUMIFS($J$7:J577,$C$7:C577,C577)-SUMIFS($K$7:K577,$C$7:C577,C577))</f>
        <v/>
      </c>
      <c r="N577">
        <f>IF(AND(C577&lt;&gt;"",C577='Tenant Statement'!$C$6),COUNTIF($C$7:C577,'Tenant Statement'!$C$6),"")</f>
        <v/>
      </c>
    </row>
    <row r="578">
      <c r="B578" s="41" t="n"/>
      <c r="C578" s="18" t="n"/>
      <c r="D578" s="42">
        <f>IF(C578="","",IFERROR(INDEX(TenantProperty,MATCH(C578,Tenants,0)),""))</f>
        <v/>
      </c>
      <c r="E578" s="42">
        <f>IF(C578="","",IFERROR(INDEX(TenantUnit,MATCH(C578,Tenants,0)),""))</f>
        <v/>
      </c>
      <c r="F578" s="18" t="n"/>
      <c r="G578" s="18" t="n"/>
      <c r="H578" s="18" t="n"/>
      <c r="I578" s="18" t="n"/>
      <c r="J578" s="37" t="n"/>
      <c r="K578" s="37" t="n"/>
      <c r="L578" s="43">
        <f>IF(C578="","",SUMIFS($J$7:J578,$C$7:C578,C578)-SUMIFS($K$7:K578,$C$7:C578,C578))</f>
        <v/>
      </c>
      <c r="N578">
        <f>IF(AND(C578&lt;&gt;"",C578='Tenant Statement'!$C$6),COUNTIF($C$7:C578,'Tenant Statement'!$C$6),"")</f>
        <v/>
      </c>
    </row>
    <row r="579">
      <c r="B579" s="41" t="n"/>
      <c r="C579" s="18" t="n"/>
      <c r="D579" s="42">
        <f>IF(C579="","",IFERROR(INDEX(TenantProperty,MATCH(C579,Tenants,0)),""))</f>
        <v/>
      </c>
      <c r="E579" s="42">
        <f>IF(C579="","",IFERROR(INDEX(TenantUnit,MATCH(C579,Tenants,0)),""))</f>
        <v/>
      </c>
      <c r="F579" s="18" t="n"/>
      <c r="G579" s="18" t="n"/>
      <c r="H579" s="18" t="n"/>
      <c r="I579" s="18" t="n"/>
      <c r="J579" s="37" t="n"/>
      <c r="K579" s="37" t="n"/>
      <c r="L579" s="43">
        <f>IF(C579="","",SUMIFS($J$7:J579,$C$7:C579,C579)-SUMIFS($K$7:K579,$C$7:C579,C579))</f>
        <v/>
      </c>
      <c r="N579">
        <f>IF(AND(C579&lt;&gt;"",C579='Tenant Statement'!$C$6),COUNTIF($C$7:C579,'Tenant Statement'!$C$6),"")</f>
        <v/>
      </c>
    </row>
    <row r="580">
      <c r="B580" s="41" t="n"/>
      <c r="C580" s="18" t="n"/>
      <c r="D580" s="42">
        <f>IF(C580="","",IFERROR(INDEX(TenantProperty,MATCH(C580,Tenants,0)),""))</f>
        <v/>
      </c>
      <c r="E580" s="42">
        <f>IF(C580="","",IFERROR(INDEX(TenantUnit,MATCH(C580,Tenants,0)),""))</f>
        <v/>
      </c>
      <c r="F580" s="18" t="n"/>
      <c r="G580" s="18" t="n"/>
      <c r="H580" s="18" t="n"/>
      <c r="I580" s="18" t="n"/>
      <c r="J580" s="37" t="n"/>
      <c r="K580" s="37" t="n"/>
      <c r="L580" s="43">
        <f>IF(C580="","",SUMIFS($J$7:J580,$C$7:C580,C580)-SUMIFS($K$7:K580,$C$7:C580,C580))</f>
        <v/>
      </c>
      <c r="N580">
        <f>IF(AND(C580&lt;&gt;"",C580='Tenant Statement'!$C$6),COUNTIF($C$7:C580,'Tenant Statement'!$C$6),"")</f>
        <v/>
      </c>
    </row>
    <row r="581">
      <c r="B581" s="41" t="n"/>
      <c r="C581" s="18" t="n"/>
      <c r="D581" s="42">
        <f>IF(C581="","",IFERROR(INDEX(TenantProperty,MATCH(C581,Tenants,0)),""))</f>
        <v/>
      </c>
      <c r="E581" s="42">
        <f>IF(C581="","",IFERROR(INDEX(TenantUnit,MATCH(C581,Tenants,0)),""))</f>
        <v/>
      </c>
      <c r="F581" s="18" t="n"/>
      <c r="G581" s="18" t="n"/>
      <c r="H581" s="18" t="n"/>
      <c r="I581" s="18" t="n"/>
      <c r="J581" s="37" t="n"/>
      <c r="K581" s="37" t="n"/>
      <c r="L581" s="43">
        <f>IF(C581="","",SUMIFS($J$7:J581,$C$7:C581,C581)-SUMIFS($K$7:K581,$C$7:C581,C581))</f>
        <v/>
      </c>
      <c r="N581">
        <f>IF(AND(C581&lt;&gt;"",C581='Tenant Statement'!$C$6),COUNTIF($C$7:C581,'Tenant Statement'!$C$6),"")</f>
        <v/>
      </c>
    </row>
    <row r="582">
      <c r="B582" s="41" t="n"/>
      <c r="C582" s="18" t="n"/>
      <c r="D582" s="42">
        <f>IF(C582="","",IFERROR(INDEX(TenantProperty,MATCH(C582,Tenants,0)),""))</f>
        <v/>
      </c>
      <c r="E582" s="42">
        <f>IF(C582="","",IFERROR(INDEX(TenantUnit,MATCH(C582,Tenants,0)),""))</f>
        <v/>
      </c>
      <c r="F582" s="18" t="n"/>
      <c r="G582" s="18" t="n"/>
      <c r="H582" s="18" t="n"/>
      <c r="I582" s="18" t="n"/>
      <c r="J582" s="37" t="n"/>
      <c r="K582" s="37" t="n"/>
      <c r="L582" s="43">
        <f>IF(C582="","",SUMIFS($J$7:J582,$C$7:C582,C582)-SUMIFS($K$7:K582,$C$7:C582,C582))</f>
        <v/>
      </c>
      <c r="N582">
        <f>IF(AND(C582&lt;&gt;"",C582='Tenant Statement'!$C$6),COUNTIF($C$7:C582,'Tenant Statement'!$C$6),"")</f>
        <v/>
      </c>
    </row>
    <row r="583">
      <c r="B583" s="41" t="n"/>
      <c r="C583" s="18" t="n"/>
      <c r="D583" s="42">
        <f>IF(C583="","",IFERROR(INDEX(TenantProperty,MATCH(C583,Tenants,0)),""))</f>
        <v/>
      </c>
      <c r="E583" s="42">
        <f>IF(C583="","",IFERROR(INDEX(TenantUnit,MATCH(C583,Tenants,0)),""))</f>
        <v/>
      </c>
      <c r="F583" s="18" t="n"/>
      <c r="G583" s="18" t="n"/>
      <c r="H583" s="18" t="n"/>
      <c r="I583" s="18" t="n"/>
      <c r="J583" s="37" t="n"/>
      <c r="K583" s="37" t="n"/>
      <c r="L583" s="43">
        <f>IF(C583="","",SUMIFS($J$7:J583,$C$7:C583,C583)-SUMIFS($K$7:K583,$C$7:C583,C583))</f>
        <v/>
      </c>
      <c r="N583">
        <f>IF(AND(C583&lt;&gt;"",C583='Tenant Statement'!$C$6),COUNTIF($C$7:C583,'Tenant Statement'!$C$6),"")</f>
        <v/>
      </c>
    </row>
    <row r="584">
      <c r="B584" s="41" t="n"/>
      <c r="C584" s="18" t="n"/>
      <c r="D584" s="42">
        <f>IF(C584="","",IFERROR(INDEX(TenantProperty,MATCH(C584,Tenants,0)),""))</f>
        <v/>
      </c>
      <c r="E584" s="42">
        <f>IF(C584="","",IFERROR(INDEX(TenantUnit,MATCH(C584,Tenants,0)),""))</f>
        <v/>
      </c>
      <c r="F584" s="18" t="n"/>
      <c r="G584" s="18" t="n"/>
      <c r="H584" s="18" t="n"/>
      <c r="I584" s="18" t="n"/>
      <c r="J584" s="37" t="n"/>
      <c r="K584" s="37" t="n"/>
      <c r="L584" s="43">
        <f>IF(C584="","",SUMIFS($J$7:J584,$C$7:C584,C584)-SUMIFS($K$7:K584,$C$7:C584,C584))</f>
        <v/>
      </c>
      <c r="N584">
        <f>IF(AND(C584&lt;&gt;"",C584='Tenant Statement'!$C$6),COUNTIF($C$7:C584,'Tenant Statement'!$C$6),"")</f>
        <v/>
      </c>
    </row>
    <row r="585">
      <c r="B585" s="41" t="n"/>
      <c r="C585" s="18" t="n"/>
      <c r="D585" s="42">
        <f>IF(C585="","",IFERROR(INDEX(TenantProperty,MATCH(C585,Tenants,0)),""))</f>
        <v/>
      </c>
      <c r="E585" s="42">
        <f>IF(C585="","",IFERROR(INDEX(TenantUnit,MATCH(C585,Tenants,0)),""))</f>
        <v/>
      </c>
      <c r="F585" s="18" t="n"/>
      <c r="G585" s="18" t="n"/>
      <c r="H585" s="18" t="n"/>
      <c r="I585" s="18" t="n"/>
      <c r="J585" s="37" t="n"/>
      <c r="K585" s="37" t="n"/>
      <c r="L585" s="43">
        <f>IF(C585="","",SUMIFS($J$7:J585,$C$7:C585,C585)-SUMIFS($K$7:K585,$C$7:C585,C585))</f>
        <v/>
      </c>
      <c r="N585">
        <f>IF(AND(C585&lt;&gt;"",C585='Tenant Statement'!$C$6),COUNTIF($C$7:C585,'Tenant Statement'!$C$6),"")</f>
        <v/>
      </c>
    </row>
    <row r="586">
      <c r="B586" s="41" t="n"/>
      <c r="C586" s="18" t="n"/>
      <c r="D586" s="42">
        <f>IF(C586="","",IFERROR(INDEX(TenantProperty,MATCH(C586,Tenants,0)),""))</f>
        <v/>
      </c>
      <c r="E586" s="42">
        <f>IF(C586="","",IFERROR(INDEX(TenantUnit,MATCH(C586,Tenants,0)),""))</f>
        <v/>
      </c>
      <c r="F586" s="18" t="n"/>
      <c r="G586" s="18" t="n"/>
      <c r="H586" s="18" t="n"/>
      <c r="I586" s="18" t="n"/>
      <c r="J586" s="37" t="n"/>
      <c r="K586" s="37" t="n"/>
      <c r="L586" s="43">
        <f>IF(C586="","",SUMIFS($J$7:J586,$C$7:C586,C586)-SUMIFS($K$7:K586,$C$7:C586,C586))</f>
        <v/>
      </c>
      <c r="N586">
        <f>IF(AND(C586&lt;&gt;"",C586='Tenant Statement'!$C$6),COUNTIF($C$7:C586,'Tenant Statement'!$C$6),"")</f>
        <v/>
      </c>
    </row>
    <row r="587">
      <c r="B587" s="41" t="n"/>
      <c r="C587" s="18" t="n"/>
      <c r="D587" s="42">
        <f>IF(C587="","",IFERROR(INDEX(TenantProperty,MATCH(C587,Tenants,0)),""))</f>
        <v/>
      </c>
      <c r="E587" s="42">
        <f>IF(C587="","",IFERROR(INDEX(TenantUnit,MATCH(C587,Tenants,0)),""))</f>
        <v/>
      </c>
      <c r="F587" s="18" t="n"/>
      <c r="G587" s="18" t="n"/>
      <c r="H587" s="18" t="n"/>
      <c r="I587" s="18" t="n"/>
      <c r="J587" s="37" t="n"/>
      <c r="K587" s="37" t="n"/>
      <c r="L587" s="43">
        <f>IF(C587="","",SUMIFS($J$7:J587,$C$7:C587,C587)-SUMIFS($K$7:K587,$C$7:C587,C587))</f>
        <v/>
      </c>
      <c r="N587">
        <f>IF(AND(C587&lt;&gt;"",C587='Tenant Statement'!$C$6),COUNTIF($C$7:C587,'Tenant Statement'!$C$6),"")</f>
        <v/>
      </c>
    </row>
    <row r="588">
      <c r="B588" s="41" t="n"/>
      <c r="C588" s="18" t="n"/>
      <c r="D588" s="42">
        <f>IF(C588="","",IFERROR(INDEX(TenantProperty,MATCH(C588,Tenants,0)),""))</f>
        <v/>
      </c>
      <c r="E588" s="42">
        <f>IF(C588="","",IFERROR(INDEX(TenantUnit,MATCH(C588,Tenants,0)),""))</f>
        <v/>
      </c>
      <c r="F588" s="18" t="n"/>
      <c r="G588" s="18" t="n"/>
      <c r="H588" s="18" t="n"/>
      <c r="I588" s="18" t="n"/>
      <c r="J588" s="37" t="n"/>
      <c r="K588" s="37" t="n"/>
      <c r="L588" s="43">
        <f>IF(C588="","",SUMIFS($J$7:J588,$C$7:C588,C588)-SUMIFS($K$7:K588,$C$7:C588,C588))</f>
        <v/>
      </c>
      <c r="N588">
        <f>IF(AND(C588&lt;&gt;"",C588='Tenant Statement'!$C$6),COUNTIF($C$7:C588,'Tenant Statement'!$C$6),"")</f>
        <v/>
      </c>
    </row>
    <row r="589">
      <c r="B589" s="41" t="n"/>
      <c r="C589" s="18" t="n"/>
      <c r="D589" s="42">
        <f>IF(C589="","",IFERROR(INDEX(TenantProperty,MATCH(C589,Tenants,0)),""))</f>
        <v/>
      </c>
      <c r="E589" s="42">
        <f>IF(C589="","",IFERROR(INDEX(TenantUnit,MATCH(C589,Tenants,0)),""))</f>
        <v/>
      </c>
      <c r="F589" s="18" t="n"/>
      <c r="G589" s="18" t="n"/>
      <c r="H589" s="18" t="n"/>
      <c r="I589" s="18" t="n"/>
      <c r="J589" s="37" t="n"/>
      <c r="K589" s="37" t="n"/>
      <c r="L589" s="43">
        <f>IF(C589="","",SUMIFS($J$7:J589,$C$7:C589,C589)-SUMIFS($K$7:K589,$C$7:C589,C589))</f>
        <v/>
      </c>
      <c r="N589">
        <f>IF(AND(C589&lt;&gt;"",C589='Tenant Statement'!$C$6),COUNTIF($C$7:C589,'Tenant Statement'!$C$6),"")</f>
        <v/>
      </c>
    </row>
    <row r="590">
      <c r="B590" s="41" t="n"/>
      <c r="C590" s="18" t="n"/>
      <c r="D590" s="42">
        <f>IF(C590="","",IFERROR(INDEX(TenantProperty,MATCH(C590,Tenants,0)),""))</f>
        <v/>
      </c>
      <c r="E590" s="42">
        <f>IF(C590="","",IFERROR(INDEX(TenantUnit,MATCH(C590,Tenants,0)),""))</f>
        <v/>
      </c>
      <c r="F590" s="18" t="n"/>
      <c r="G590" s="18" t="n"/>
      <c r="H590" s="18" t="n"/>
      <c r="I590" s="18" t="n"/>
      <c r="J590" s="37" t="n"/>
      <c r="K590" s="37" t="n"/>
      <c r="L590" s="43">
        <f>IF(C590="","",SUMIFS($J$7:J590,$C$7:C590,C590)-SUMIFS($K$7:K590,$C$7:C590,C590))</f>
        <v/>
      </c>
      <c r="N590">
        <f>IF(AND(C590&lt;&gt;"",C590='Tenant Statement'!$C$6),COUNTIF($C$7:C590,'Tenant Statement'!$C$6),"")</f>
        <v/>
      </c>
    </row>
    <row r="591">
      <c r="B591" s="41" t="n"/>
      <c r="C591" s="18" t="n"/>
      <c r="D591" s="42">
        <f>IF(C591="","",IFERROR(INDEX(TenantProperty,MATCH(C591,Tenants,0)),""))</f>
        <v/>
      </c>
      <c r="E591" s="42">
        <f>IF(C591="","",IFERROR(INDEX(TenantUnit,MATCH(C591,Tenants,0)),""))</f>
        <v/>
      </c>
      <c r="F591" s="18" t="n"/>
      <c r="G591" s="18" t="n"/>
      <c r="H591" s="18" t="n"/>
      <c r="I591" s="18" t="n"/>
      <c r="J591" s="37" t="n"/>
      <c r="K591" s="37" t="n"/>
      <c r="L591" s="43">
        <f>IF(C591="","",SUMIFS($J$7:J591,$C$7:C591,C591)-SUMIFS($K$7:K591,$C$7:C591,C591))</f>
        <v/>
      </c>
      <c r="N591">
        <f>IF(AND(C591&lt;&gt;"",C591='Tenant Statement'!$C$6),COUNTIF($C$7:C591,'Tenant Statement'!$C$6),"")</f>
        <v/>
      </c>
    </row>
    <row r="592">
      <c r="B592" s="41" t="n"/>
      <c r="C592" s="18" t="n"/>
      <c r="D592" s="42">
        <f>IF(C592="","",IFERROR(INDEX(TenantProperty,MATCH(C592,Tenants,0)),""))</f>
        <v/>
      </c>
      <c r="E592" s="42">
        <f>IF(C592="","",IFERROR(INDEX(TenantUnit,MATCH(C592,Tenants,0)),""))</f>
        <v/>
      </c>
      <c r="F592" s="18" t="n"/>
      <c r="G592" s="18" t="n"/>
      <c r="H592" s="18" t="n"/>
      <c r="I592" s="18" t="n"/>
      <c r="J592" s="37" t="n"/>
      <c r="K592" s="37" t="n"/>
      <c r="L592" s="43">
        <f>IF(C592="","",SUMIFS($J$7:J592,$C$7:C592,C592)-SUMIFS($K$7:K592,$C$7:C592,C592))</f>
        <v/>
      </c>
      <c r="N592">
        <f>IF(AND(C592&lt;&gt;"",C592='Tenant Statement'!$C$6),COUNTIF($C$7:C592,'Tenant Statement'!$C$6),"")</f>
        <v/>
      </c>
    </row>
    <row r="593">
      <c r="B593" s="41" t="n"/>
      <c r="C593" s="18" t="n"/>
      <c r="D593" s="42">
        <f>IF(C593="","",IFERROR(INDEX(TenantProperty,MATCH(C593,Tenants,0)),""))</f>
        <v/>
      </c>
      <c r="E593" s="42">
        <f>IF(C593="","",IFERROR(INDEX(TenantUnit,MATCH(C593,Tenants,0)),""))</f>
        <v/>
      </c>
      <c r="F593" s="18" t="n"/>
      <c r="G593" s="18" t="n"/>
      <c r="H593" s="18" t="n"/>
      <c r="I593" s="18" t="n"/>
      <c r="J593" s="37" t="n"/>
      <c r="K593" s="37" t="n"/>
      <c r="L593" s="43">
        <f>IF(C593="","",SUMIFS($J$7:J593,$C$7:C593,C593)-SUMIFS($K$7:K593,$C$7:C593,C593))</f>
        <v/>
      </c>
      <c r="N593">
        <f>IF(AND(C593&lt;&gt;"",C593='Tenant Statement'!$C$6),COUNTIF($C$7:C593,'Tenant Statement'!$C$6),"")</f>
        <v/>
      </c>
    </row>
    <row r="594">
      <c r="B594" s="41" t="n"/>
      <c r="C594" s="18" t="n"/>
      <c r="D594" s="42">
        <f>IF(C594="","",IFERROR(INDEX(TenantProperty,MATCH(C594,Tenants,0)),""))</f>
        <v/>
      </c>
      <c r="E594" s="42">
        <f>IF(C594="","",IFERROR(INDEX(TenantUnit,MATCH(C594,Tenants,0)),""))</f>
        <v/>
      </c>
      <c r="F594" s="18" t="n"/>
      <c r="G594" s="18" t="n"/>
      <c r="H594" s="18" t="n"/>
      <c r="I594" s="18" t="n"/>
      <c r="J594" s="37" t="n"/>
      <c r="K594" s="37" t="n"/>
      <c r="L594" s="43">
        <f>IF(C594="","",SUMIFS($J$7:J594,$C$7:C594,C594)-SUMIFS($K$7:K594,$C$7:C594,C594))</f>
        <v/>
      </c>
      <c r="N594">
        <f>IF(AND(C594&lt;&gt;"",C594='Tenant Statement'!$C$6),COUNTIF($C$7:C594,'Tenant Statement'!$C$6),"")</f>
        <v/>
      </c>
    </row>
    <row r="595">
      <c r="B595" s="41" t="n"/>
      <c r="C595" s="18" t="n"/>
      <c r="D595" s="42">
        <f>IF(C595="","",IFERROR(INDEX(TenantProperty,MATCH(C595,Tenants,0)),""))</f>
        <v/>
      </c>
      <c r="E595" s="42">
        <f>IF(C595="","",IFERROR(INDEX(TenantUnit,MATCH(C595,Tenants,0)),""))</f>
        <v/>
      </c>
      <c r="F595" s="18" t="n"/>
      <c r="G595" s="18" t="n"/>
      <c r="H595" s="18" t="n"/>
      <c r="I595" s="18" t="n"/>
      <c r="J595" s="37" t="n"/>
      <c r="K595" s="37" t="n"/>
      <c r="L595" s="43">
        <f>IF(C595="","",SUMIFS($J$7:J595,$C$7:C595,C595)-SUMIFS($K$7:K595,$C$7:C595,C595))</f>
        <v/>
      </c>
      <c r="N595">
        <f>IF(AND(C595&lt;&gt;"",C595='Tenant Statement'!$C$6),COUNTIF($C$7:C595,'Tenant Statement'!$C$6),"")</f>
        <v/>
      </c>
    </row>
    <row r="596">
      <c r="B596" s="41" t="n"/>
      <c r="C596" s="18" t="n"/>
      <c r="D596" s="42">
        <f>IF(C596="","",IFERROR(INDEX(TenantProperty,MATCH(C596,Tenants,0)),""))</f>
        <v/>
      </c>
      <c r="E596" s="42">
        <f>IF(C596="","",IFERROR(INDEX(TenantUnit,MATCH(C596,Tenants,0)),""))</f>
        <v/>
      </c>
      <c r="F596" s="18" t="n"/>
      <c r="G596" s="18" t="n"/>
      <c r="H596" s="18" t="n"/>
      <c r="I596" s="18" t="n"/>
      <c r="J596" s="37" t="n"/>
      <c r="K596" s="37" t="n"/>
      <c r="L596" s="43">
        <f>IF(C596="","",SUMIFS($J$7:J596,$C$7:C596,C596)-SUMIFS($K$7:K596,$C$7:C596,C596))</f>
        <v/>
      </c>
      <c r="N596">
        <f>IF(AND(C596&lt;&gt;"",C596='Tenant Statement'!$C$6),COUNTIF($C$7:C596,'Tenant Statement'!$C$6),"")</f>
        <v/>
      </c>
    </row>
    <row r="597">
      <c r="B597" s="41" t="n"/>
      <c r="C597" s="18" t="n"/>
      <c r="D597" s="42">
        <f>IF(C597="","",IFERROR(INDEX(TenantProperty,MATCH(C597,Tenants,0)),""))</f>
        <v/>
      </c>
      <c r="E597" s="42">
        <f>IF(C597="","",IFERROR(INDEX(TenantUnit,MATCH(C597,Tenants,0)),""))</f>
        <v/>
      </c>
      <c r="F597" s="18" t="n"/>
      <c r="G597" s="18" t="n"/>
      <c r="H597" s="18" t="n"/>
      <c r="I597" s="18" t="n"/>
      <c r="J597" s="37" t="n"/>
      <c r="K597" s="37" t="n"/>
      <c r="L597" s="43">
        <f>IF(C597="","",SUMIFS($J$7:J597,$C$7:C597,C597)-SUMIFS($K$7:K597,$C$7:C597,C597))</f>
        <v/>
      </c>
      <c r="N597">
        <f>IF(AND(C597&lt;&gt;"",C597='Tenant Statement'!$C$6),COUNTIF($C$7:C597,'Tenant Statement'!$C$6),"")</f>
        <v/>
      </c>
    </row>
    <row r="598">
      <c r="B598" s="41" t="n"/>
      <c r="C598" s="18" t="n"/>
      <c r="D598" s="42">
        <f>IF(C598="","",IFERROR(INDEX(TenantProperty,MATCH(C598,Tenants,0)),""))</f>
        <v/>
      </c>
      <c r="E598" s="42">
        <f>IF(C598="","",IFERROR(INDEX(TenantUnit,MATCH(C598,Tenants,0)),""))</f>
        <v/>
      </c>
      <c r="F598" s="18" t="n"/>
      <c r="G598" s="18" t="n"/>
      <c r="H598" s="18" t="n"/>
      <c r="I598" s="18" t="n"/>
      <c r="J598" s="37" t="n"/>
      <c r="K598" s="37" t="n"/>
      <c r="L598" s="43">
        <f>IF(C598="","",SUMIFS($J$7:J598,$C$7:C598,C598)-SUMIFS($K$7:K598,$C$7:C598,C598))</f>
        <v/>
      </c>
      <c r="N598">
        <f>IF(AND(C598&lt;&gt;"",C598='Tenant Statement'!$C$6),COUNTIF($C$7:C598,'Tenant Statement'!$C$6),"")</f>
        <v/>
      </c>
    </row>
    <row r="599">
      <c r="B599" s="41" t="n"/>
      <c r="C599" s="18" t="n"/>
      <c r="D599" s="42">
        <f>IF(C599="","",IFERROR(INDEX(TenantProperty,MATCH(C599,Tenants,0)),""))</f>
        <v/>
      </c>
      <c r="E599" s="42">
        <f>IF(C599="","",IFERROR(INDEX(TenantUnit,MATCH(C599,Tenants,0)),""))</f>
        <v/>
      </c>
      <c r="F599" s="18" t="n"/>
      <c r="G599" s="18" t="n"/>
      <c r="H599" s="18" t="n"/>
      <c r="I599" s="18" t="n"/>
      <c r="J599" s="37" t="n"/>
      <c r="K599" s="37" t="n"/>
      <c r="L599" s="43">
        <f>IF(C599="","",SUMIFS($J$7:J599,$C$7:C599,C599)-SUMIFS($K$7:K599,$C$7:C599,C599))</f>
        <v/>
      </c>
      <c r="N599">
        <f>IF(AND(C599&lt;&gt;"",C599='Tenant Statement'!$C$6),COUNTIF($C$7:C599,'Tenant Statement'!$C$6),"")</f>
        <v/>
      </c>
    </row>
    <row r="600">
      <c r="B600" s="41" t="n"/>
      <c r="C600" s="18" t="n"/>
      <c r="D600" s="42">
        <f>IF(C600="","",IFERROR(INDEX(TenantProperty,MATCH(C600,Tenants,0)),""))</f>
        <v/>
      </c>
      <c r="E600" s="42">
        <f>IF(C600="","",IFERROR(INDEX(TenantUnit,MATCH(C600,Tenants,0)),""))</f>
        <v/>
      </c>
      <c r="F600" s="18" t="n"/>
      <c r="G600" s="18" t="n"/>
      <c r="H600" s="18" t="n"/>
      <c r="I600" s="18" t="n"/>
      <c r="J600" s="37" t="n"/>
      <c r="K600" s="37" t="n"/>
      <c r="L600" s="43">
        <f>IF(C600="","",SUMIFS($J$7:J600,$C$7:C600,C600)-SUMIFS($K$7:K600,$C$7:C600,C600))</f>
        <v/>
      </c>
      <c r="N600">
        <f>IF(AND(C600&lt;&gt;"",C600='Tenant Statement'!$C$6),COUNTIF($C$7:C600,'Tenant Statement'!$C$6),"")</f>
        <v/>
      </c>
    </row>
    <row r="601">
      <c r="B601" s="41" t="n"/>
      <c r="C601" s="18" t="n"/>
      <c r="D601" s="42">
        <f>IF(C601="","",IFERROR(INDEX(TenantProperty,MATCH(C601,Tenants,0)),""))</f>
        <v/>
      </c>
      <c r="E601" s="42">
        <f>IF(C601="","",IFERROR(INDEX(TenantUnit,MATCH(C601,Tenants,0)),""))</f>
        <v/>
      </c>
      <c r="F601" s="18" t="n"/>
      <c r="G601" s="18" t="n"/>
      <c r="H601" s="18" t="n"/>
      <c r="I601" s="18" t="n"/>
      <c r="J601" s="37" t="n"/>
      <c r="K601" s="37" t="n"/>
      <c r="L601" s="43">
        <f>IF(C601="","",SUMIFS($J$7:J601,$C$7:C601,C601)-SUMIFS($K$7:K601,$C$7:C601,C601))</f>
        <v/>
      </c>
      <c r="N601">
        <f>IF(AND(C601&lt;&gt;"",C601='Tenant Statement'!$C$6),COUNTIF($C$7:C601,'Tenant Statement'!$C$6),"")</f>
        <v/>
      </c>
    </row>
    <row r="602">
      <c r="B602" s="41" t="n"/>
      <c r="C602" s="18" t="n"/>
      <c r="D602" s="42">
        <f>IF(C602="","",IFERROR(INDEX(TenantProperty,MATCH(C602,Tenants,0)),""))</f>
        <v/>
      </c>
      <c r="E602" s="42">
        <f>IF(C602="","",IFERROR(INDEX(TenantUnit,MATCH(C602,Tenants,0)),""))</f>
        <v/>
      </c>
      <c r="F602" s="18" t="n"/>
      <c r="G602" s="18" t="n"/>
      <c r="H602" s="18" t="n"/>
      <c r="I602" s="18" t="n"/>
      <c r="J602" s="37" t="n"/>
      <c r="K602" s="37" t="n"/>
      <c r="L602" s="43">
        <f>IF(C602="","",SUMIFS($J$7:J602,$C$7:C602,C602)-SUMIFS($K$7:K602,$C$7:C602,C602))</f>
        <v/>
      </c>
      <c r="N602">
        <f>IF(AND(C602&lt;&gt;"",C602='Tenant Statement'!$C$6),COUNTIF($C$7:C602,'Tenant Statement'!$C$6),"")</f>
        <v/>
      </c>
    </row>
    <row r="603">
      <c r="B603" s="41" t="n"/>
      <c r="C603" s="18" t="n"/>
      <c r="D603" s="42">
        <f>IF(C603="","",IFERROR(INDEX(TenantProperty,MATCH(C603,Tenants,0)),""))</f>
        <v/>
      </c>
      <c r="E603" s="42">
        <f>IF(C603="","",IFERROR(INDEX(TenantUnit,MATCH(C603,Tenants,0)),""))</f>
        <v/>
      </c>
      <c r="F603" s="18" t="n"/>
      <c r="G603" s="18" t="n"/>
      <c r="H603" s="18" t="n"/>
      <c r="I603" s="18" t="n"/>
      <c r="J603" s="37" t="n"/>
      <c r="K603" s="37" t="n"/>
      <c r="L603" s="43">
        <f>IF(C603="","",SUMIFS($J$7:J603,$C$7:C603,C603)-SUMIFS($K$7:K603,$C$7:C603,C603))</f>
        <v/>
      </c>
      <c r="N603">
        <f>IF(AND(C603&lt;&gt;"",C603='Tenant Statement'!$C$6),COUNTIF($C$7:C603,'Tenant Statement'!$C$6),"")</f>
        <v/>
      </c>
    </row>
    <row r="604">
      <c r="B604" s="41" t="n"/>
      <c r="C604" s="18" t="n"/>
      <c r="D604" s="42">
        <f>IF(C604="","",IFERROR(INDEX(TenantProperty,MATCH(C604,Tenants,0)),""))</f>
        <v/>
      </c>
      <c r="E604" s="42">
        <f>IF(C604="","",IFERROR(INDEX(TenantUnit,MATCH(C604,Tenants,0)),""))</f>
        <v/>
      </c>
      <c r="F604" s="18" t="n"/>
      <c r="G604" s="18" t="n"/>
      <c r="H604" s="18" t="n"/>
      <c r="I604" s="18" t="n"/>
      <c r="J604" s="37" t="n"/>
      <c r="K604" s="37" t="n"/>
      <c r="L604" s="43">
        <f>IF(C604="","",SUMIFS($J$7:J604,$C$7:C604,C604)-SUMIFS($K$7:K604,$C$7:C604,C604))</f>
        <v/>
      </c>
      <c r="N604">
        <f>IF(AND(C604&lt;&gt;"",C604='Tenant Statement'!$C$6),COUNTIF($C$7:C604,'Tenant Statement'!$C$6),"")</f>
        <v/>
      </c>
    </row>
    <row r="605">
      <c r="B605" s="41" t="n"/>
      <c r="C605" s="18" t="n"/>
      <c r="D605" s="42">
        <f>IF(C605="","",IFERROR(INDEX(TenantProperty,MATCH(C605,Tenants,0)),""))</f>
        <v/>
      </c>
      <c r="E605" s="42">
        <f>IF(C605="","",IFERROR(INDEX(TenantUnit,MATCH(C605,Tenants,0)),""))</f>
        <v/>
      </c>
      <c r="F605" s="18" t="n"/>
      <c r="G605" s="18" t="n"/>
      <c r="H605" s="18" t="n"/>
      <c r="I605" s="18" t="n"/>
      <c r="J605" s="37" t="n"/>
      <c r="K605" s="37" t="n"/>
      <c r="L605" s="43">
        <f>IF(C605="","",SUMIFS($J$7:J605,$C$7:C605,C605)-SUMIFS($K$7:K605,$C$7:C605,C605))</f>
        <v/>
      </c>
      <c r="N605">
        <f>IF(AND(C605&lt;&gt;"",C605='Tenant Statement'!$C$6),COUNTIF($C$7:C605,'Tenant Statement'!$C$6),"")</f>
        <v/>
      </c>
    </row>
    <row r="606">
      <c r="B606" s="41" t="n"/>
      <c r="C606" s="18" t="n"/>
      <c r="D606" s="42">
        <f>IF(C606="","",IFERROR(INDEX(TenantProperty,MATCH(C606,Tenants,0)),""))</f>
        <v/>
      </c>
      <c r="E606" s="42">
        <f>IF(C606="","",IFERROR(INDEX(TenantUnit,MATCH(C606,Tenants,0)),""))</f>
        <v/>
      </c>
      <c r="F606" s="18" t="n"/>
      <c r="G606" s="18" t="n"/>
      <c r="H606" s="18" t="n"/>
      <c r="I606" s="18" t="n"/>
      <c r="J606" s="37" t="n"/>
      <c r="K606" s="37" t="n"/>
      <c r="L606" s="43">
        <f>IF(C606="","",SUMIFS($J$7:J606,$C$7:C606,C606)-SUMIFS($K$7:K606,$C$7:C606,C606))</f>
        <v/>
      </c>
      <c r="N606">
        <f>IF(AND(C606&lt;&gt;"",C606='Tenant Statement'!$C$6),COUNTIF($C$7:C606,'Tenant Statement'!$C$6),"")</f>
        <v/>
      </c>
    </row>
    <row r="607">
      <c r="B607" s="41" t="n"/>
      <c r="C607" s="18" t="n"/>
      <c r="D607" s="42">
        <f>IF(C607="","",IFERROR(INDEX(TenantProperty,MATCH(C607,Tenants,0)),""))</f>
        <v/>
      </c>
      <c r="E607" s="42">
        <f>IF(C607="","",IFERROR(INDEX(TenantUnit,MATCH(C607,Tenants,0)),""))</f>
        <v/>
      </c>
      <c r="F607" s="18" t="n"/>
      <c r="G607" s="18" t="n"/>
      <c r="H607" s="18" t="n"/>
      <c r="I607" s="18" t="n"/>
      <c r="J607" s="37" t="n"/>
      <c r="K607" s="37" t="n"/>
      <c r="L607" s="43">
        <f>IF(C607="","",SUMIFS($J$7:J607,$C$7:C607,C607)-SUMIFS($K$7:K607,$C$7:C607,C607))</f>
        <v/>
      </c>
      <c r="N607">
        <f>IF(AND(C607&lt;&gt;"",C607='Tenant Statement'!$C$6),COUNTIF($C$7:C607,'Tenant Statement'!$C$6),"")</f>
        <v/>
      </c>
    </row>
    <row r="608">
      <c r="B608" s="41" t="n"/>
      <c r="C608" s="18" t="n"/>
      <c r="D608" s="42">
        <f>IF(C608="","",IFERROR(INDEX(TenantProperty,MATCH(C608,Tenants,0)),""))</f>
        <v/>
      </c>
      <c r="E608" s="42">
        <f>IF(C608="","",IFERROR(INDEX(TenantUnit,MATCH(C608,Tenants,0)),""))</f>
        <v/>
      </c>
      <c r="F608" s="18" t="n"/>
      <c r="G608" s="18" t="n"/>
      <c r="H608" s="18" t="n"/>
      <c r="I608" s="18" t="n"/>
      <c r="J608" s="37" t="n"/>
      <c r="K608" s="37" t="n"/>
      <c r="L608" s="43">
        <f>IF(C608="","",SUMIFS($J$7:J608,$C$7:C608,C608)-SUMIFS($K$7:K608,$C$7:C608,C608))</f>
        <v/>
      </c>
      <c r="N608">
        <f>IF(AND(C608&lt;&gt;"",C608='Tenant Statement'!$C$6),COUNTIF($C$7:C608,'Tenant Statement'!$C$6),"")</f>
        <v/>
      </c>
    </row>
    <row r="609">
      <c r="B609" s="41" t="n"/>
      <c r="C609" s="18" t="n"/>
      <c r="D609" s="42">
        <f>IF(C609="","",IFERROR(INDEX(TenantProperty,MATCH(C609,Tenants,0)),""))</f>
        <v/>
      </c>
      <c r="E609" s="42">
        <f>IF(C609="","",IFERROR(INDEX(TenantUnit,MATCH(C609,Tenants,0)),""))</f>
        <v/>
      </c>
      <c r="F609" s="18" t="n"/>
      <c r="G609" s="18" t="n"/>
      <c r="H609" s="18" t="n"/>
      <c r="I609" s="18" t="n"/>
      <c r="J609" s="37" t="n"/>
      <c r="K609" s="37" t="n"/>
      <c r="L609" s="43">
        <f>IF(C609="","",SUMIFS($J$7:J609,$C$7:C609,C609)-SUMIFS($K$7:K609,$C$7:C609,C609))</f>
        <v/>
      </c>
      <c r="N609">
        <f>IF(AND(C609&lt;&gt;"",C609='Tenant Statement'!$C$6),COUNTIF($C$7:C609,'Tenant Statement'!$C$6),"")</f>
        <v/>
      </c>
    </row>
    <row r="610">
      <c r="B610" s="41" t="n"/>
      <c r="C610" s="18" t="n"/>
      <c r="D610" s="42">
        <f>IF(C610="","",IFERROR(INDEX(TenantProperty,MATCH(C610,Tenants,0)),""))</f>
        <v/>
      </c>
      <c r="E610" s="42">
        <f>IF(C610="","",IFERROR(INDEX(TenantUnit,MATCH(C610,Tenants,0)),""))</f>
        <v/>
      </c>
      <c r="F610" s="18" t="n"/>
      <c r="G610" s="18" t="n"/>
      <c r="H610" s="18" t="n"/>
      <c r="I610" s="18" t="n"/>
      <c r="J610" s="37" t="n"/>
      <c r="K610" s="37" t="n"/>
      <c r="L610" s="43">
        <f>IF(C610="","",SUMIFS($J$7:J610,$C$7:C610,C610)-SUMIFS($K$7:K610,$C$7:C610,C610))</f>
        <v/>
      </c>
      <c r="N610">
        <f>IF(AND(C610&lt;&gt;"",C610='Tenant Statement'!$C$6),COUNTIF($C$7:C610,'Tenant Statement'!$C$6),"")</f>
        <v/>
      </c>
    </row>
    <row r="611">
      <c r="B611" s="41" t="n"/>
      <c r="C611" s="18" t="n"/>
      <c r="D611" s="42">
        <f>IF(C611="","",IFERROR(INDEX(TenantProperty,MATCH(C611,Tenants,0)),""))</f>
        <v/>
      </c>
      <c r="E611" s="42">
        <f>IF(C611="","",IFERROR(INDEX(TenantUnit,MATCH(C611,Tenants,0)),""))</f>
        <v/>
      </c>
      <c r="F611" s="18" t="n"/>
      <c r="G611" s="18" t="n"/>
      <c r="H611" s="18" t="n"/>
      <c r="I611" s="18" t="n"/>
      <c r="J611" s="37" t="n"/>
      <c r="K611" s="37" t="n"/>
      <c r="L611" s="43">
        <f>IF(C611="","",SUMIFS($J$7:J611,$C$7:C611,C611)-SUMIFS($K$7:K611,$C$7:C611,C611))</f>
        <v/>
      </c>
      <c r="N611">
        <f>IF(AND(C611&lt;&gt;"",C611='Tenant Statement'!$C$6),COUNTIF($C$7:C611,'Tenant Statement'!$C$6),"")</f>
        <v/>
      </c>
    </row>
    <row r="612">
      <c r="B612" s="41" t="n"/>
      <c r="C612" s="18" t="n"/>
      <c r="D612" s="42">
        <f>IF(C612="","",IFERROR(INDEX(TenantProperty,MATCH(C612,Tenants,0)),""))</f>
        <v/>
      </c>
      <c r="E612" s="42">
        <f>IF(C612="","",IFERROR(INDEX(TenantUnit,MATCH(C612,Tenants,0)),""))</f>
        <v/>
      </c>
      <c r="F612" s="18" t="n"/>
      <c r="G612" s="18" t="n"/>
      <c r="H612" s="18" t="n"/>
      <c r="I612" s="18" t="n"/>
      <c r="J612" s="37" t="n"/>
      <c r="K612" s="37" t="n"/>
      <c r="L612" s="43">
        <f>IF(C612="","",SUMIFS($J$7:J612,$C$7:C612,C612)-SUMIFS($K$7:K612,$C$7:C612,C612))</f>
        <v/>
      </c>
      <c r="N612">
        <f>IF(AND(C612&lt;&gt;"",C612='Tenant Statement'!$C$6),COUNTIF($C$7:C612,'Tenant Statement'!$C$6),"")</f>
        <v/>
      </c>
    </row>
    <row r="613">
      <c r="B613" s="41" t="n"/>
      <c r="C613" s="18" t="n"/>
      <c r="D613" s="42">
        <f>IF(C613="","",IFERROR(INDEX(TenantProperty,MATCH(C613,Tenants,0)),""))</f>
        <v/>
      </c>
      <c r="E613" s="42">
        <f>IF(C613="","",IFERROR(INDEX(TenantUnit,MATCH(C613,Tenants,0)),""))</f>
        <v/>
      </c>
      <c r="F613" s="18" t="n"/>
      <c r="G613" s="18" t="n"/>
      <c r="H613" s="18" t="n"/>
      <c r="I613" s="18" t="n"/>
      <c r="J613" s="37" t="n"/>
      <c r="K613" s="37" t="n"/>
      <c r="L613" s="43">
        <f>IF(C613="","",SUMIFS($J$7:J613,$C$7:C613,C613)-SUMIFS($K$7:K613,$C$7:C613,C613))</f>
        <v/>
      </c>
      <c r="N613">
        <f>IF(AND(C613&lt;&gt;"",C613='Tenant Statement'!$C$6),COUNTIF($C$7:C613,'Tenant Statement'!$C$6),"")</f>
        <v/>
      </c>
    </row>
    <row r="614">
      <c r="B614" s="41" t="n"/>
      <c r="C614" s="18" t="n"/>
      <c r="D614" s="42">
        <f>IF(C614="","",IFERROR(INDEX(TenantProperty,MATCH(C614,Tenants,0)),""))</f>
        <v/>
      </c>
      <c r="E614" s="42">
        <f>IF(C614="","",IFERROR(INDEX(TenantUnit,MATCH(C614,Tenants,0)),""))</f>
        <v/>
      </c>
      <c r="F614" s="18" t="n"/>
      <c r="G614" s="18" t="n"/>
      <c r="H614" s="18" t="n"/>
      <c r="I614" s="18" t="n"/>
      <c r="J614" s="37" t="n"/>
      <c r="K614" s="37" t="n"/>
      <c r="L614" s="43">
        <f>IF(C614="","",SUMIFS($J$7:J614,$C$7:C614,C614)-SUMIFS($K$7:K614,$C$7:C614,C614))</f>
        <v/>
      </c>
      <c r="N614">
        <f>IF(AND(C614&lt;&gt;"",C614='Tenant Statement'!$C$6),COUNTIF($C$7:C614,'Tenant Statement'!$C$6),"")</f>
        <v/>
      </c>
    </row>
    <row r="615">
      <c r="B615" s="41" t="n"/>
      <c r="C615" s="18" t="n"/>
      <c r="D615" s="42">
        <f>IF(C615="","",IFERROR(INDEX(TenantProperty,MATCH(C615,Tenants,0)),""))</f>
        <v/>
      </c>
      <c r="E615" s="42">
        <f>IF(C615="","",IFERROR(INDEX(TenantUnit,MATCH(C615,Tenants,0)),""))</f>
        <v/>
      </c>
      <c r="F615" s="18" t="n"/>
      <c r="G615" s="18" t="n"/>
      <c r="H615" s="18" t="n"/>
      <c r="I615" s="18" t="n"/>
      <c r="J615" s="37" t="n"/>
      <c r="K615" s="37" t="n"/>
      <c r="L615" s="43">
        <f>IF(C615="","",SUMIFS($J$7:J615,$C$7:C615,C615)-SUMIFS($K$7:K615,$C$7:C615,C615))</f>
        <v/>
      </c>
      <c r="N615">
        <f>IF(AND(C615&lt;&gt;"",C615='Tenant Statement'!$C$6),COUNTIF($C$7:C615,'Tenant Statement'!$C$6),"")</f>
        <v/>
      </c>
    </row>
    <row r="616">
      <c r="B616" s="41" t="n"/>
      <c r="C616" s="18" t="n"/>
      <c r="D616" s="42">
        <f>IF(C616="","",IFERROR(INDEX(TenantProperty,MATCH(C616,Tenants,0)),""))</f>
        <v/>
      </c>
      <c r="E616" s="42">
        <f>IF(C616="","",IFERROR(INDEX(TenantUnit,MATCH(C616,Tenants,0)),""))</f>
        <v/>
      </c>
      <c r="F616" s="18" t="n"/>
      <c r="G616" s="18" t="n"/>
      <c r="H616" s="18" t="n"/>
      <c r="I616" s="18" t="n"/>
      <c r="J616" s="37" t="n"/>
      <c r="K616" s="37" t="n"/>
      <c r="L616" s="43">
        <f>IF(C616="","",SUMIFS($J$7:J616,$C$7:C616,C616)-SUMIFS($K$7:K616,$C$7:C616,C616))</f>
        <v/>
      </c>
      <c r="N616">
        <f>IF(AND(C616&lt;&gt;"",C616='Tenant Statement'!$C$6),COUNTIF($C$7:C616,'Tenant Statement'!$C$6),"")</f>
        <v/>
      </c>
    </row>
    <row r="617">
      <c r="B617" s="41" t="n"/>
      <c r="C617" s="18" t="n"/>
      <c r="D617" s="42">
        <f>IF(C617="","",IFERROR(INDEX(TenantProperty,MATCH(C617,Tenants,0)),""))</f>
        <v/>
      </c>
      <c r="E617" s="42">
        <f>IF(C617="","",IFERROR(INDEX(TenantUnit,MATCH(C617,Tenants,0)),""))</f>
        <v/>
      </c>
      <c r="F617" s="18" t="n"/>
      <c r="G617" s="18" t="n"/>
      <c r="H617" s="18" t="n"/>
      <c r="I617" s="18" t="n"/>
      <c r="J617" s="37" t="n"/>
      <c r="K617" s="37" t="n"/>
      <c r="L617" s="43">
        <f>IF(C617="","",SUMIFS($J$7:J617,$C$7:C617,C617)-SUMIFS($K$7:K617,$C$7:C617,C617))</f>
        <v/>
      </c>
      <c r="N617">
        <f>IF(AND(C617&lt;&gt;"",C617='Tenant Statement'!$C$6),COUNTIF($C$7:C617,'Tenant Statement'!$C$6),"")</f>
        <v/>
      </c>
    </row>
    <row r="618">
      <c r="B618" s="41" t="n"/>
      <c r="C618" s="18" t="n"/>
      <c r="D618" s="42">
        <f>IF(C618="","",IFERROR(INDEX(TenantProperty,MATCH(C618,Tenants,0)),""))</f>
        <v/>
      </c>
      <c r="E618" s="42">
        <f>IF(C618="","",IFERROR(INDEX(TenantUnit,MATCH(C618,Tenants,0)),""))</f>
        <v/>
      </c>
      <c r="F618" s="18" t="n"/>
      <c r="G618" s="18" t="n"/>
      <c r="H618" s="18" t="n"/>
      <c r="I618" s="18" t="n"/>
      <c r="J618" s="37" t="n"/>
      <c r="K618" s="37" t="n"/>
      <c r="L618" s="43">
        <f>IF(C618="","",SUMIFS($J$7:J618,$C$7:C618,C618)-SUMIFS($K$7:K618,$C$7:C618,C618))</f>
        <v/>
      </c>
      <c r="N618">
        <f>IF(AND(C618&lt;&gt;"",C618='Tenant Statement'!$C$6),COUNTIF($C$7:C618,'Tenant Statement'!$C$6),"")</f>
        <v/>
      </c>
    </row>
    <row r="619">
      <c r="B619" s="41" t="n"/>
      <c r="C619" s="18" t="n"/>
      <c r="D619" s="42">
        <f>IF(C619="","",IFERROR(INDEX(TenantProperty,MATCH(C619,Tenants,0)),""))</f>
        <v/>
      </c>
      <c r="E619" s="42">
        <f>IF(C619="","",IFERROR(INDEX(TenantUnit,MATCH(C619,Tenants,0)),""))</f>
        <v/>
      </c>
      <c r="F619" s="18" t="n"/>
      <c r="G619" s="18" t="n"/>
      <c r="H619" s="18" t="n"/>
      <c r="I619" s="18" t="n"/>
      <c r="J619" s="37" t="n"/>
      <c r="K619" s="37" t="n"/>
      <c r="L619" s="43">
        <f>IF(C619="","",SUMIFS($J$7:J619,$C$7:C619,C619)-SUMIFS($K$7:K619,$C$7:C619,C619))</f>
        <v/>
      </c>
      <c r="N619">
        <f>IF(AND(C619&lt;&gt;"",C619='Tenant Statement'!$C$6),COUNTIF($C$7:C619,'Tenant Statement'!$C$6),"")</f>
        <v/>
      </c>
    </row>
    <row r="620">
      <c r="B620" s="41" t="n"/>
      <c r="C620" s="18" t="n"/>
      <c r="D620" s="42">
        <f>IF(C620="","",IFERROR(INDEX(TenantProperty,MATCH(C620,Tenants,0)),""))</f>
        <v/>
      </c>
      <c r="E620" s="42">
        <f>IF(C620="","",IFERROR(INDEX(TenantUnit,MATCH(C620,Tenants,0)),""))</f>
        <v/>
      </c>
      <c r="F620" s="18" t="n"/>
      <c r="G620" s="18" t="n"/>
      <c r="H620" s="18" t="n"/>
      <c r="I620" s="18" t="n"/>
      <c r="J620" s="37" t="n"/>
      <c r="K620" s="37" t="n"/>
      <c r="L620" s="43">
        <f>IF(C620="","",SUMIFS($J$7:J620,$C$7:C620,C620)-SUMIFS($K$7:K620,$C$7:C620,C620))</f>
        <v/>
      </c>
      <c r="N620">
        <f>IF(AND(C620&lt;&gt;"",C620='Tenant Statement'!$C$6),COUNTIF($C$7:C620,'Tenant Statement'!$C$6),"")</f>
        <v/>
      </c>
    </row>
    <row r="621">
      <c r="B621" s="41" t="n"/>
      <c r="C621" s="18" t="n"/>
      <c r="D621" s="42">
        <f>IF(C621="","",IFERROR(INDEX(TenantProperty,MATCH(C621,Tenants,0)),""))</f>
        <v/>
      </c>
      <c r="E621" s="42">
        <f>IF(C621="","",IFERROR(INDEX(TenantUnit,MATCH(C621,Tenants,0)),""))</f>
        <v/>
      </c>
      <c r="F621" s="18" t="n"/>
      <c r="G621" s="18" t="n"/>
      <c r="H621" s="18" t="n"/>
      <c r="I621" s="18" t="n"/>
      <c r="J621" s="37" t="n"/>
      <c r="K621" s="37" t="n"/>
      <c r="L621" s="43">
        <f>IF(C621="","",SUMIFS($J$7:J621,$C$7:C621,C621)-SUMIFS($K$7:K621,$C$7:C621,C621))</f>
        <v/>
      </c>
      <c r="N621">
        <f>IF(AND(C621&lt;&gt;"",C621='Tenant Statement'!$C$6),COUNTIF($C$7:C621,'Tenant Statement'!$C$6),"")</f>
        <v/>
      </c>
    </row>
    <row r="622">
      <c r="B622" s="41" t="n"/>
      <c r="C622" s="18" t="n"/>
      <c r="D622" s="42">
        <f>IF(C622="","",IFERROR(INDEX(TenantProperty,MATCH(C622,Tenants,0)),""))</f>
        <v/>
      </c>
      <c r="E622" s="42">
        <f>IF(C622="","",IFERROR(INDEX(TenantUnit,MATCH(C622,Tenants,0)),""))</f>
        <v/>
      </c>
      <c r="F622" s="18" t="n"/>
      <c r="G622" s="18" t="n"/>
      <c r="H622" s="18" t="n"/>
      <c r="I622" s="18" t="n"/>
      <c r="J622" s="37" t="n"/>
      <c r="K622" s="37" t="n"/>
      <c r="L622" s="43">
        <f>IF(C622="","",SUMIFS($J$7:J622,$C$7:C622,C622)-SUMIFS($K$7:K622,$C$7:C622,C622))</f>
        <v/>
      </c>
      <c r="N622">
        <f>IF(AND(C622&lt;&gt;"",C622='Tenant Statement'!$C$6),COUNTIF($C$7:C622,'Tenant Statement'!$C$6),"")</f>
        <v/>
      </c>
    </row>
    <row r="623">
      <c r="B623" s="41" t="n"/>
      <c r="C623" s="18" t="n"/>
      <c r="D623" s="42">
        <f>IF(C623="","",IFERROR(INDEX(TenantProperty,MATCH(C623,Tenants,0)),""))</f>
        <v/>
      </c>
      <c r="E623" s="42">
        <f>IF(C623="","",IFERROR(INDEX(TenantUnit,MATCH(C623,Tenants,0)),""))</f>
        <v/>
      </c>
      <c r="F623" s="18" t="n"/>
      <c r="G623" s="18" t="n"/>
      <c r="H623" s="18" t="n"/>
      <c r="I623" s="18" t="n"/>
      <c r="J623" s="37" t="n"/>
      <c r="K623" s="37" t="n"/>
      <c r="L623" s="43">
        <f>IF(C623="","",SUMIFS($J$7:J623,$C$7:C623,C623)-SUMIFS($K$7:K623,$C$7:C623,C623))</f>
        <v/>
      </c>
      <c r="N623">
        <f>IF(AND(C623&lt;&gt;"",C623='Tenant Statement'!$C$6),COUNTIF($C$7:C623,'Tenant Statement'!$C$6),"")</f>
        <v/>
      </c>
    </row>
    <row r="624">
      <c r="B624" s="41" t="n"/>
      <c r="C624" s="18" t="n"/>
      <c r="D624" s="42">
        <f>IF(C624="","",IFERROR(INDEX(TenantProperty,MATCH(C624,Tenants,0)),""))</f>
        <v/>
      </c>
      <c r="E624" s="42">
        <f>IF(C624="","",IFERROR(INDEX(TenantUnit,MATCH(C624,Tenants,0)),""))</f>
        <v/>
      </c>
      <c r="F624" s="18" t="n"/>
      <c r="G624" s="18" t="n"/>
      <c r="H624" s="18" t="n"/>
      <c r="I624" s="18" t="n"/>
      <c r="J624" s="37" t="n"/>
      <c r="K624" s="37" t="n"/>
      <c r="L624" s="43">
        <f>IF(C624="","",SUMIFS($J$7:J624,$C$7:C624,C624)-SUMIFS($K$7:K624,$C$7:C624,C624))</f>
        <v/>
      </c>
      <c r="N624">
        <f>IF(AND(C624&lt;&gt;"",C624='Tenant Statement'!$C$6),COUNTIF($C$7:C624,'Tenant Statement'!$C$6),"")</f>
        <v/>
      </c>
    </row>
    <row r="625">
      <c r="B625" s="41" t="n"/>
      <c r="C625" s="18" t="n"/>
      <c r="D625" s="42">
        <f>IF(C625="","",IFERROR(INDEX(TenantProperty,MATCH(C625,Tenants,0)),""))</f>
        <v/>
      </c>
      <c r="E625" s="42">
        <f>IF(C625="","",IFERROR(INDEX(TenantUnit,MATCH(C625,Tenants,0)),""))</f>
        <v/>
      </c>
      <c r="F625" s="18" t="n"/>
      <c r="G625" s="18" t="n"/>
      <c r="H625" s="18" t="n"/>
      <c r="I625" s="18" t="n"/>
      <c r="J625" s="37" t="n"/>
      <c r="K625" s="37" t="n"/>
      <c r="L625" s="43">
        <f>IF(C625="","",SUMIFS($J$7:J625,$C$7:C625,C625)-SUMIFS($K$7:K625,$C$7:C625,C625))</f>
        <v/>
      </c>
      <c r="N625">
        <f>IF(AND(C625&lt;&gt;"",C625='Tenant Statement'!$C$6),COUNTIF($C$7:C625,'Tenant Statement'!$C$6),"")</f>
        <v/>
      </c>
    </row>
    <row r="626">
      <c r="B626" s="41" t="n"/>
      <c r="C626" s="18" t="n"/>
      <c r="D626" s="42">
        <f>IF(C626="","",IFERROR(INDEX(TenantProperty,MATCH(C626,Tenants,0)),""))</f>
        <v/>
      </c>
      <c r="E626" s="42">
        <f>IF(C626="","",IFERROR(INDEX(TenantUnit,MATCH(C626,Tenants,0)),""))</f>
        <v/>
      </c>
      <c r="F626" s="18" t="n"/>
      <c r="G626" s="18" t="n"/>
      <c r="H626" s="18" t="n"/>
      <c r="I626" s="18" t="n"/>
      <c r="J626" s="37" t="n"/>
      <c r="K626" s="37" t="n"/>
      <c r="L626" s="43">
        <f>IF(C626="","",SUMIFS($J$7:J626,$C$7:C626,C626)-SUMIFS($K$7:K626,$C$7:C626,C626))</f>
        <v/>
      </c>
      <c r="N626">
        <f>IF(AND(C626&lt;&gt;"",C626='Tenant Statement'!$C$6),COUNTIF($C$7:C626,'Tenant Statement'!$C$6),"")</f>
        <v/>
      </c>
    </row>
    <row r="627">
      <c r="B627" s="41" t="n"/>
      <c r="C627" s="18" t="n"/>
      <c r="D627" s="42">
        <f>IF(C627="","",IFERROR(INDEX(TenantProperty,MATCH(C627,Tenants,0)),""))</f>
        <v/>
      </c>
      <c r="E627" s="42">
        <f>IF(C627="","",IFERROR(INDEX(TenantUnit,MATCH(C627,Tenants,0)),""))</f>
        <v/>
      </c>
      <c r="F627" s="18" t="n"/>
      <c r="G627" s="18" t="n"/>
      <c r="H627" s="18" t="n"/>
      <c r="I627" s="18" t="n"/>
      <c r="J627" s="37" t="n"/>
      <c r="K627" s="37" t="n"/>
      <c r="L627" s="43">
        <f>IF(C627="","",SUMIFS($J$7:J627,$C$7:C627,C627)-SUMIFS($K$7:K627,$C$7:C627,C627))</f>
        <v/>
      </c>
      <c r="N627">
        <f>IF(AND(C627&lt;&gt;"",C627='Tenant Statement'!$C$6),COUNTIF($C$7:C627,'Tenant Statement'!$C$6),"")</f>
        <v/>
      </c>
    </row>
    <row r="628">
      <c r="B628" s="41" t="n"/>
      <c r="C628" s="18" t="n"/>
      <c r="D628" s="42">
        <f>IF(C628="","",IFERROR(INDEX(TenantProperty,MATCH(C628,Tenants,0)),""))</f>
        <v/>
      </c>
      <c r="E628" s="42">
        <f>IF(C628="","",IFERROR(INDEX(TenantUnit,MATCH(C628,Tenants,0)),""))</f>
        <v/>
      </c>
      <c r="F628" s="18" t="n"/>
      <c r="G628" s="18" t="n"/>
      <c r="H628" s="18" t="n"/>
      <c r="I628" s="18" t="n"/>
      <c r="J628" s="37" t="n"/>
      <c r="K628" s="37" t="n"/>
      <c r="L628" s="43">
        <f>IF(C628="","",SUMIFS($J$7:J628,$C$7:C628,C628)-SUMIFS($K$7:K628,$C$7:C628,C628))</f>
        <v/>
      </c>
      <c r="N628">
        <f>IF(AND(C628&lt;&gt;"",C628='Tenant Statement'!$C$6),COUNTIF($C$7:C628,'Tenant Statement'!$C$6),"")</f>
        <v/>
      </c>
    </row>
    <row r="629">
      <c r="B629" s="41" t="n"/>
      <c r="C629" s="18" t="n"/>
      <c r="D629" s="42">
        <f>IF(C629="","",IFERROR(INDEX(TenantProperty,MATCH(C629,Tenants,0)),""))</f>
        <v/>
      </c>
      <c r="E629" s="42">
        <f>IF(C629="","",IFERROR(INDEX(TenantUnit,MATCH(C629,Tenants,0)),""))</f>
        <v/>
      </c>
      <c r="F629" s="18" t="n"/>
      <c r="G629" s="18" t="n"/>
      <c r="H629" s="18" t="n"/>
      <c r="I629" s="18" t="n"/>
      <c r="J629" s="37" t="n"/>
      <c r="K629" s="37" t="n"/>
      <c r="L629" s="43">
        <f>IF(C629="","",SUMIFS($J$7:J629,$C$7:C629,C629)-SUMIFS($K$7:K629,$C$7:C629,C629))</f>
        <v/>
      </c>
      <c r="N629">
        <f>IF(AND(C629&lt;&gt;"",C629='Tenant Statement'!$C$6),COUNTIF($C$7:C629,'Tenant Statement'!$C$6),"")</f>
        <v/>
      </c>
    </row>
    <row r="630">
      <c r="B630" s="41" t="n"/>
      <c r="C630" s="18" t="n"/>
      <c r="D630" s="42">
        <f>IF(C630="","",IFERROR(INDEX(TenantProperty,MATCH(C630,Tenants,0)),""))</f>
        <v/>
      </c>
      <c r="E630" s="42">
        <f>IF(C630="","",IFERROR(INDEX(TenantUnit,MATCH(C630,Tenants,0)),""))</f>
        <v/>
      </c>
      <c r="F630" s="18" t="n"/>
      <c r="G630" s="18" t="n"/>
      <c r="H630" s="18" t="n"/>
      <c r="I630" s="18" t="n"/>
      <c r="J630" s="37" t="n"/>
      <c r="K630" s="37" t="n"/>
      <c r="L630" s="43">
        <f>IF(C630="","",SUMIFS($J$7:J630,$C$7:C630,C630)-SUMIFS($K$7:K630,$C$7:C630,C630))</f>
        <v/>
      </c>
      <c r="N630">
        <f>IF(AND(C630&lt;&gt;"",C630='Tenant Statement'!$C$6),COUNTIF($C$7:C630,'Tenant Statement'!$C$6),"")</f>
        <v/>
      </c>
    </row>
    <row r="631">
      <c r="B631" s="41" t="n"/>
      <c r="C631" s="18" t="n"/>
      <c r="D631" s="42">
        <f>IF(C631="","",IFERROR(INDEX(TenantProperty,MATCH(C631,Tenants,0)),""))</f>
        <v/>
      </c>
      <c r="E631" s="42">
        <f>IF(C631="","",IFERROR(INDEX(TenantUnit,MATCH(C631,Tenants,0)),""))</f>
        <v/>
      </c>
      <c r="F631" s="18" t="n"/>
      <c r="G631" s="18" t="n"/>
      <c r="H631" s="18" t="n"/>
      <c r="I631" s="18" t="n"/>
      <c r="J631" s="37" t="n"/>
      <c r="K631" s="37" t="n"/>
      <c r="L631" s="43">
        <f>IF(C631="","",SUMIFS($J$7:J631,$C$7:C631,C631)-SUMIFS($K$7:K631,$C$7:C631,C631))</f>
        <v/>
      </c>
      <c r="N631">
        <f>IF(AND(C631&lt;&gt;"",C631='Tenant Statement'!$C$6),COUNTIF($C$7:C631,'Tenant Statement'!$C$6),"")</f>
        <v/>
      </c>
    </row>
    <row r="632">
      <c r="B632" s="41" t="n"/>
      <c r="C632" s="18" t="n"/>
      <c r="D632" s="42">
        <f>IF(C632="","",IFERROR(INDEX(TenantProperty,MATCH(C632,Tenants,0)),""))</f>
        <v/>
      </c>
      <c r="E632" s="42">
        <f>IF(C632="","",IFERROR(INDEX(TenantUnit,MATCH(C632,Tenants,0)),""))</f>
        <v/>
      </c>
      <c r="F632" s="18" t="n"/>
      <c r="G632" s="18" t="n"/>
      <c r="H632" s="18" t="n"/>
      <c r="I632" s="18" t="n"/>
      <c r="J632" s="37" t="n"/>
      <c r="K632" s="37" t="n"/>
      <c r="L632" s="43">
        <f>IF(C632="","",SUMIFS($J$7:J632,$C$7:C632,C632)-SUMIFS($K$7:K632,$C$7:C632,C632))</f>
        <v/>
      </c>
      <c r="N632">
        <f>IF(AND(C632&lt;&gt;"",C632='Tenant Statement'!$C$6),COUNTIF($C$7:C632,'Tenant Statement'!$C$6),"")</f>
        <v/>
      </c>
    </row>
    <row r="633">
      <c r="B633" s="41" t="n"/>
      <c r="C633" s="18" t="n"/>
      <c r="D633" s="42">
        <f>IF(C633="","",IFERROR(INDEX(TenantProperty,MATCH(C633,Tenants,0)),""))</f>
        <v/>
      </c>
      <c r="E633" s="42">
        <f>IF(C633="","",IFERROR(INDEX(TenantUnit,MATCH(C633,Tenants,0)),""))</f>
        <v/>
      </c>
      <c r="F633" s="18" t="n"/>
      <c r="G633" s="18" t="n"/>
      <c r="H633" s="18" t="n"/>
      <c r="I633" s="18" t="n"/>
      <c r="J633" s="37" t="n"/>
      <c r="K633" s="37" t="n"/>
      <c r="L633" s="43">
        <f>IF(C633="","",SUMIFS($J$7:J633,$C$7:C633,C633)-SUMIFS($K$7:K633,$C$7:C633,C633))</f>
        <v/>
      </c>
      <c r="N633">
        <f>IF(AND(C633&lt;&gt;"",C633='Tenant Statement'!$C$6),COUNTIF($C$7:C633,'Tenant Statement'!$C$6),"")</f>
        <v/>
      </c>
    </row>
    <row r="634">
      <c r="B634" s="41" t="n"/>
      <c r="C634" s="18" t="n"/>
      <c r="D634" s="42">
        <f>IF(C634="","",IFERROR(INDEX(TenantProperty,MATCH(C634,Tenants,0)),""))</f>
        <v/>
      </c>
      <c r="E634" s="42">
        <f>IF(C634="","",IFERROR(INDEX(TenantUnit,MATCH(C634,Tenants,0)),""))</f>
        <v/>
      </c>
      <c r="F634" s="18" t="n"/>
      <c r="G634" s="18" t="n"/>
      <c r="H634" s="18" t="n"/>
      <c r="I634" s="18" t="n"/>
      <c r="J634" s="37" t="n"/>
      <c r="K634" s="37" t="n"/>
      <c r="L634" s="43">
        <f>IF(C634="","",SUMIFS($J$7:J634,$C$7:C634,C634)-SUMIFS($K$7:K634,$C$7:C634,C634))</f>
        <v/>
      </c>
      <c r="N634">
        <f>IF(AND(C634&lt;&gt;"",C634='Tenant Statement'!$C$6),COUNTIF($C$7:C634,'Tenant Statement'!$C$6),"")</f>
        <v/>
      </c>
    </row>
    <row r="635">
      <c r="B635" s="41" t="n"/>
      <c r="C635" s="18" t="n"/>
      <c r="D635" s="42">
        <f>IF(C635="","",IFERROR(INDEX(TenantProperty,MATCH(C635,Tenants,0)),""))</f>
        <v/>
      </c>
      <c r="E635" s="42">
        <f>IF(C635="","",IFERROR(INDEX(TenantUnit,MATCH(C635,Tenants,0)),""))</f>
        <v/>
      </c>
      <c r="F635" s="18" t="n"/>
      <c r="G635" s="18" t="n"/>
      <c r="H635" s="18" t="n"/>
      <c r="I635" s="18" t="n"/>
      <c r="J635" s="37" t="n"/>
      <c r="K635" s="37" t="n"/>
      <c r="L635" s="43">
        <f>IF(C635="","",SUMIFS($J$7:J635,$C$7:C635,C635)-SUMIFS($K$7:K635,$C$7:C635,C635))</f>
        <v/>
      </c>
      <c r="N635">
        <f>IF(AND(C635&lt;&gt;"",C635='Tenant Statement'!$C$6),COUNTIF($C$7:C635,'Tenant Statement'!$C$6),"")</f>
        <v/>
      </c>
    </row>
    <row r="636">
      <c r="B636" s="41" t="n"/>
      <c r="C636" s="18" t="n"/>
      <c r="D636" s="42">
        <f>IF(C636="","",IFERROR(INDEX(TenantProperty,MATCH(C636,Tenants,0)),""))</f>
        <v/>
      </c>
      <c r="E636" s="42">
        <f>IF(C636="","",IFERROR(INDEX(TenantUnit,MATCH(C636,Tenants,0)),""))</f>
        <v/>
      </c>
      <c r="F636" s="18" t="n"/>
      <c r="G636" s="18" t="n"/>
      <c r="H636" s="18" t="n"/>
      <c r="I636" s="18" t="n"/>
      <c r="J636" s="37" t="n"/>
      <c r="K636" s="37" t="n"/>
      <c r="L636" s="43">
        <f>IF(C636="","",SUMIFS($J$7:J636,$C$7:C636,C636)-SUMIFS($K$7:K636,$C$7:C636,C636))</f>
        <v/>
      </c>
      <c r="N636">
        <f>IF(AND(C636&lt;&gt;"",C636='Tenant Statement'!$C$6),COUNTIF($C$7:C636,'Tenant Statement'!$C$6),"")</f>
        <v/>
      </c>
    </row>
    <row r="637">
      <c r="B637" s="41" t="n"/>
      <c r="C637" s="18" t="n"/>
      <c r="D637" s="42">
        <f>IF(C637="","",IFERROR(INDEX(TenantProperty,MATCH(C637,Tenants,0)),""))</f>
        <v/>
      </c>
      <c r="E637" s="42">
        <f>IF(C637="","",IFERROR(INDEX(TenantUnit,MATCH(C637,Tenants,0)),""))</f>
        <v/>
      </c>
      <c r="F637" s="18" t="n"/>
      <c r="G637" s="18" t="n"/>
      <c r="H637" s="18" t="n"/>
      <c r="I637" s="18" t="n"/>
      <c r="J637" s="37" t="n"/>
      <c r="K637" s="37" t="n"/>
      <c r="L637" s="43">
        <f>IF(C637="","",SUMIFS($J$7:J637,$C$7:C637,C637)-SUMIFS($K$7:K637,$C$7:C637,C637))</f>
        <v/>
      </c>
      <c r="N637">
        <f>IF(AND(C637&lt;&gt;"",C637='Tenant Statement'!$C$6),COUNTIF($C$7:C637,'Tenant Statement'!$C$6),"")</f>
        <v/>
      </c>
    </row>
    <row r="638">
      <c r="B638" s="41" t="n"/>
      <c r="C638" s="18" t="n"/>
      <c r="D638" s="42">
        <f>IF(C638="","",IFERROR(INDEX(TenantProperty,MATCH(C638,Tenants,0)),""))</f>
        <v/>
      </c>
      <c r="E638" s="42">
        <f>IF(C638="","",IFERROR(INDEX(TenantUnit,MATCH(C638,Tenants,0)),""))</f>
        <v/>
      </c>
      <c r="F638" s="18" t="n"/>
      <c r="G638" s="18" t="n"/>
      <c r="H638" s="18" t="n"/>
      <c r="I638" s="18" t="n"/>
      <c r="J638" s="37" t="n"/>
      <c r="K638" s="37" t="n"/>
      <c r="L638" s="43">
        <f>IF(C638="","",SUMIFS($J$7:J638,$C$7:C638,C638)-SUMIFS($K$7:K638,$C$7:C638,C638))</f>
        <v/>
      </c>
      <c r="N638">
        <f>IF(AND(C638&lt;&gt;"",C638='Tenant Statement'!$C$6),COUNTIF($C$7:C638,'Tenant Statement'!$C$6),"")</f>
        <v/>
      </c>
    </row>
    <row r="639">
      <c r="B639" s="41" t="n"/>
      <c r="C639" s="18" t="n"/>
      <c r="D639" s="42">
        <f>IF(C639="","",IFERROR(INDEX(TenantProperty,MATCH(C639,Tenants,0)),""))</f>
        <v/>
      </c>
      <c r="E639" s="42">
        <f>IF(C639="","",IFERROR(INDEX(TenantUnit,MATCH(C639,Tenants,0)),""))</f>
        <v/>
      </c>
      <c r="F639" s="18" t="n"/>
      <c r="G639" s="18" t="n"/>
      <c r="H639" s="18" t="n"/>
      <c r="I639" s="18" t="n"/>
      <c r="J639" s="37" t="n"/>
      <c r="K639" s="37" t="n"/>
      <c r="L639" s="43">
        <f>IF(C639="","",SUMIFS($J$7:J639,$C$7:C639,C639)-SUMIFS($K$7:K639,$C$7:C639,C639))</f>
        <v/>
      </c>
      <c r="N639">
        <f>IF(AND(C639&lt;&gt;"",C639='Tenant Statement'!$C$6),COUNTIF($C$7:C639,'Tenant Statement'!$C$6),"")</f>
        <v/>
      </c>
    </row>
    <row r="640">
      <c r="B640" s="41" t="n"/>
      <c r="C640" s="18" t="n"/>
      <c r="D640" s="42">
        <f>IF(C640="","",IFERROR(INDEX(TenantProperty,MATCH(C640,Tenants,0)),""))</f>
        <v/>
      </c>
      <c r="E640" s="42">
        <f>IF(C640="","",IFERROR(INDEX(TenantUnit,MATCH(C640,Tenants,0)),""))</f>
        <v/>
      </c>
      <c r="F640" s="18" t="n"/>
      <c r="G640" s="18" t="n"/>
      <c r="H640" s="18" t="n"/>
      <c r="I640" s="18" t="n"/>
      <c r="J640" s="37" t="n"/>
      <c r="K640" s="37" t="n"/>
      <c r="L640" s="43">
        <f>IF(C640="","",SUMIFS($J$7:J640,$C$7:C640,C640)-SUMIFS($K$7:K640,$C$7:C640,C640))</f>
        <v/>
      </c>
      <c r="N640">
        <f>IF(AND(C640&lt;&gt;"",C640='Tenant Statement'!$C$6),COUNTIF($C$7:C640,'Tenant Statement'!$C$6),"")</f>
        <v/>
      </c>
    </row>
    <row r="641">
      <c r="B641" s="41" t="n"/>
      <c r="C641" s="18" t="n"/>
      <c r="D641" s="42">
        <f>IF(C641="","",IFERROR(INDEX(TenantProperty,MATCH(C641,Tenants,0)),""))</f>
        <v/>
      </c>
      <c r="E641" s="42">
        <f>IF(C641="","",IFERROR(INDEX(TenantUnit,MATCH(C641,Tenants,0)),""))</f>
        <v/>
      </c>
      <c r="F641" s="18" t="n"/>
      <c r="G641" s="18" t="n"/>
      <c r="H641" s="18" t="n"/>
      <c r="I641" s="18" t="n"/>
      <c r="J641" s="37" t="n"/>
      <c r="K641" s="37" t="n"/>
      <c r="L641" s="43">
        <f>IF(C641="","",SUMIFS($J$7:J641,$C$7:C641,C641)-SUMIFS($K$7:K641,$C$7:C641,C641))</f>
        <v/>
      </c>
      <c r="N641">
        <f>IF(AND(C641&lt;&gt;"",C641='Tenant Statement'!$C$6),COUNTIF($C$7:C641,'Tenant Statement'!$C$6),"")</f>
        <v/>
      </c>
    </row>
    <row r="642">
      <c r="B642" s="41" t="n"/>
      <c r="C642" s="18" t="n"/>
      <c r="D642" s="42">
        <f>IF(C642="","",IFERROR(INDEX(TenantProperty,MATCH(C642,Tenants,0)),""))</f>
        <v/>
      </c>
      <c r="E642" s="42">
        <f>IF(C642="","",IFERROR(INDEX(TenantUnit,MATCH(C642,Tenants,0)),""))</f>
        <v/>
      </c>
      <c r="F642" s="18" t="n"/>
      <c r="G642" s="18" t="n"/>
      <c r="H642" s="18" t="n"/>
      <c r="I642" s="18" t="n"/>
      <c r="J642" s="37" t="n"/>
      <c r="K642" s="37" t="n"/>
      <c r="L642" s="43">
        <f>IF(C642="","",SUMIFS($J$7:J642,$C$7:C642,C642)-SUMIFS($K$7:K642,$C$7:C642,C642))</f>
        <v/>
      </c>
      <c r="N642">
        <f>IF(AND(C642&lt;&gt;"",C642='Tenant Statement'!$C$6),COUNTIF($C$7:C642,'Tenant Statement'!$C$6),"")</f>
        <v/>
      </c>
    </row>
    <row r="643">
      <c r="B643" s="41" t="n"/>
      <c r="C643" s="18" t="n"/>
      <c r="D643" s="42">
        <f>IF(C643="","",IFERROR(INDEX(TenantProperty,MATCH(C643,Tenants,0)),""))</f>
        <v/>
      </c>
      <c r="E643" s="42">
        <f>IF(C643="","",IFERROR(INDEX(TenantUnit,MATCH(C643,Tenants,0)),""))</f>
        <v/>
      </c>
      <c r="F643" s="18" t="n"/>
      <c r="G643" s="18" t="n"/>
      <c r="H643" s="18" t="n"/>
      <c r="I643" s="18" t="n"/>
      <c r="J643" s="37" t="n"/>
      <c r="K643" s="37" t="n"/>
      <c r="L643" s="43">
        <f>IF(C643="","",SUMIFS($J$7:J643,$C$7:C643,C643)-SUMIFS($K$7:K643,$C$7:C643,C643))</f>
        <v/>
      </c>
      <c r="N643">
        <f>IF(AND(C643&lt;&gt;"",C643='Tenant Statement'!$C$6),COUNTIF($C$7:C643,'Tenant Statement'!$C$6),"")</f>
        <v/>
      </c>
    </row>
    <row r="644">
      <c r="B644" s="41" t="n"/>
      <c r="C644" s="18" t="n"/>
      <c r="D644" s="42">
        <f>IF(C644="","",IFERROR(INDEX(TenantProperty,MATCH(C644,Tenants,0)),""))</f>
        <v/>
      </c>
      <c r="E644" s="42">
        <f>IF(C644="","",IFERROR(INDEX(TenantUnit,MATCH(C644,Tenants,0)),""))</f>
        <v/>
      </c>
      <c r="F644" s="18" t="n"/>
      <c r="G644" s="18" t="n"/>
      <c r="H644" s="18" t="n"/>
      <c r="I644" s="18" t="n"/>
      <c r="J644" s="37" t="n"/>
      <c r="K644" s="37" t="n"/>
      <c r="L644" s="43">
        <f>IF(C644="","",SUMIFS($J$7:J644,$C$7:C644,C644)-SUMIFS($K$7:K644,$C$7:C644,C644))</f>
        <v/>
      </c>
      <c r="N644">
        <f>IF(AND(C644&lt;&gt;"",C644='Tenant Statement'!$C$6),COUNTIF($C$7:C644,'Tenant Statement'!$C$6),"")</f>
        <v/>
      </c>
    </row>
    <row r="645">
      <c r="B645" s="41" t="n"/>
      <c r="C645" s="18" t="n"/>
      <c r="D645" s="42">
        <f>IF(C645="","",IFERROR(INDEX(TenantProperty,MATCH(C645,Tenants,0)),""))</f>
        <v/>
      </c>
      <c r="E645" s="42">
        <f>IF(C645="","",IFERROR(INDEX(TenantUnit,MATCH(C645,Tenants,0)),""))</f>
        <v/>
      </c>
      <c r="F645" s="18" t="n"/>
      <c r="G645" s="18" t="n"/>
      <c r="H645" s="18" t="n"/>
      <c r="I645" s="18" t="n"/>
      <c r="J645" s="37" t="n"/>
      <c r="K645" s="37" t="n"/>
      <c r="L645" s="43">
        <f>IF(C645="","",SUMIFS($J$7:J645,$C$7:C645,C645)-SUMIFS($K$7:K645,$C$7:C645,C645))</f>
        <v/>
      </c>
      <c r="N645">
        <f>IF(AND(C645&lt;&gt;"",C645='Tenant Statement'!$C$6),COUNTIF($C$7:C645,'Tenant Statement'!$C$6),"")</f>
        <v/>
      </c>
    </row>
    <row r="646">
      <c r="B646" s="41" t="n"/>
      <c r="C646" s="18" t="n"/>
      <c r="D646" s="42">
        <f>IF(C646="","",IFERROR(INDEX(TenantProperty,MATCH(C646,Tenants,0)),""))</f>
        <v/>
      </c>
      <c r="E646" s="42">
        <f>IF(C646="","",IFERROR(INDEX(TenantUnit,MATCH(C646,Tenants,0)),""))</f>
        <v/>
      </c>
      <c r="F646" s="18" t="n"/>
      <c r="G646" s="18" t="n"/>
      <c r="H646" s="18" t="n"/>
      <c r="I646" s="18" t="n"/>
      <c r="J646" s="37" t="n"/>
      <c r="K646" s="37" t="n"/>
      <c r="L646" s="43">
        <f>IF(C646="","",SUMIFS($J$7:J646,$C$7:C646,C646)-SUMIFS($K$7:K646,$C$7:C646,C646))</f>
        <v/>
      </c>
      <c r="N646">
        <f>IF(AND(C646&lt;&gt;"",C646='Tenant Statement'!$C$6),COUNTIF($C$7:C646,'Tenant Statement'!$C$6),"")</f>
        <v/>
      </c>
    </row>
    <row r="647">
      <c r="B647" s="41" t="n"/>
      <c r="C647" s="18" t="n"/>
      <c r="D647" s="42">
        <f>IF(C647="","",IFERROR(INDEX(TenantProperty,MATCH(C647,Tenants,0)),""))</f>
        <v/>
      </c>
      <c r="E647" s="42">
        <f>IF(C647="","",IFERROR(INDEX(TenantUnit,MATCH(C647,Tenants,0)),""))</f>
        <v/>
      </c>
      <c r="F647" s="18" t="n"/>
      <c r="G647" s="18" t="n"/>
      <c r="H647" s="18" t="n"/>
      <c r="I647" s="18" t="n"/>
      <c r="J647" s="37" t="n"/>
      <c r="K647" s="37" t="n"/>
      <c r="L647" s="43">
        <f>IF(C647="","",SUMIFS($J$7:J647,$C$7:C647,C647)-SUMIFS($K$7:K647,$C$7:C647,C647))</f>
        <v/>
      </c>
      <c r="N647">
        <f>IF(AND(C647&lt;&gt;"",C647='Tenant Statement'!$C$6),COUNTIF($C$7:C647,'Tenant Statement'!$C$6),"")</f>
        <v/>
      </c>
    </row>
    <row r="648">
      <c r="B648" s="41" t="n"/>
      <c r="C648" s="18" t="n"/>
      <c r="D648" s="42">
        <f>IF(C648="","",IFERROR(INDEX(TenantProperty,MATCH(C648,Tenants,0)),""))</f>
        <v/>
      </c>
      <c r="E648" s="42">
        <f>IF(C648="","",IFERROR(INDEX(TenantUnit,MATCH(C648,Tenants,0)),""))</f>
        <v/>
      </c>
      <c r="F648" s="18" t="n"/>
      <c r="G648" s="18" t="n"/>
      <c r="H648" s="18" t="n"/>
      <c r="I648" s="18" t="n"/>
      <c r="J648" s="37" t="n"/>
      <c r="K648" s="37" t="n"/>
      <c r="L648" s="43">
        <f>IF(C648="","",SUMIFS($J$7:J648,$C$7:C648,C648)-SUMIFS($K$7:K648,$C$7:C648,C648))</f>
        <v/>
      </c>
      <c r="N648">
        <f>IF(AND(C648&lt;&gt;"",C648='Tenant Statement'!$C$6),COUNTIF($C$7:C648,'Tenant Statement'!$C$6),"")</f>
        <v/>
      </c>
    </row>
    <row r="649">
      <c r="B649" s="41" t="n"/>
      <c r="C649" s="18" t="n"/>
      <c r="D649" s="42">
        <f>IF(C649="","",IFERROR(INDEX(TenantProperty,MATCH(C649,Tenants,0)),""))</f>
        <v/>
      </c>
      <c r="E649" s="42">
        <f>IF(C649="","",IFERROR(INDEX(TenantUnit,MATCH(C649,Tenants,0)),""))</f>
        <v/>
      </c>
      <c r="F649" s="18" t="n"/>
      <c r="G649" s="18" t="n"/>
      <c r="H649" s="18" t="n"/>
      <c r="I649" s="18" t="n"/>
      <c r="J649" s="37" t="n"/>
      <c r="K649" s="37" t="n"/>
      <c r="L649" s="43">
        <f>IF(C649="","",SUMIFS($J$7:J649,$C$7:C649,C649)-SUMIFS($K$7:K649,$C$7:C649,C649))</f>
        <v/>
      </c>
      <c r="N649">
        <f>IF(AND(C649&lt;&gt;"",C649='Tenant Statement'!$C$6),COUNTIF($C$7:C649,'Tenant Statement'!$C$6),"")</f>
        <v/>
      </c>
    </row>
    <row r="650">
      <c r="B650" s="41" t="n"/>
      <c r="C650" s="18" t="n"/>
      <c r="D650" s="42">
        <f>IF(C650="","",IFERROR(INDEX(TenantProperty,MATCH(C650,Tenants,0)),""))</f>
        <v/>
      </c>
      <c r="E650" s="42">
        <f>IF(C650="","",IFERROR(INDEX(TenantUnit,MATCH(C650,Tenants,0)),""))</f>
        <v/>
      </c>
      <c r="F650" s="18" t="n"/>
      <c r="G650" s="18" t="n"/>
      <c r="H650" s="18" t="n"/>
      <c r="I650" s="18" t="n"/>
      <c r="J650" s="37" t="n"/>
      <c r="K650" s="37" t="n"/>
      <c r="L650" s="43">
        <f>IF(C650="","",SUMIFS($J$7:J650,$C$7:C650,C650)-SUMIFS($K$7:K650,$C$7:C650,C650))</f>
        <v/>
      </c>
      <c r="N650">
        <f>IF(AND(C650&lt;&gt;"",C650='Tenant Statement'!$C$6),COUNTIF($C$7:C650,'Tenant Statement'!$C$6),"")</f>
        <v/>
      </c>
    </row>
    <row r="651">
      <c r="B651" s="41" t="n"/>
      <c r="C651" s="18" t="n"/>
      <c r="D651" s="42">
        <f>IF(C651="","",IFERROR(INDEX(TenantProperty,MATCH(C651,Tenants,0)),""))</f>
        <v/>
      </c>
      <c r="E651" s="42">
        <f>IF(C651="","",IFERROR(INDEX(TenantUnit,MATCH(C651,Tenants,0)),""))</f>
        <v/>
      </c>
      <c r="F651" s="18" t="n"/>
      <c r="G651" s="18" t="n"/>
      <c r="H651" s="18" t="n"/>
      <c r="I651" s="18" t="n"/>
      <c r="J651" s="37" t="n"/>
      <c r="K651" s="37" t="n"/>
      <c r="L651" s="43">
        <f>IF(C651="","",SUMIFS($J$7:J651,$C$7:C651,C651)-SUMIFS($K$7:K651,$C$7:C651,C651))</f>
        <v/>
      </c>
      <c r="N651">
        <f>IF(AND(C651&lt;&gt;"",C651='Tenant Statement'!$C$6),COUNTIF($C$7:C651,'Tenant Statement'!$C$6),"")</f>
        <v/>
      </c>
    </row>
    <row r="652">
      <c r="B652" s="41" t="n"/>
      <c r="C652" s="18" t="n"/>
      <c r="D652" s="42">
        <f>IF(C652="","",IFERROR(INDEX(TenantProperty,MATCH(C652,Tenants,0)),""))</f>
        <v/>
      </c>
      <c r="E652" s="42">
        <f>IF(C652="","",IFERROR(INDEX(TenantUnit,MATCH(C652,Tenants,0)),""))</f>
        <v/>
      </c>
      <c r="F652" s="18" t="n"/>
      <c r="G652" s="18" t="n"/>
      <c r="H652" s="18" t="n"/>
      <c r="I652" s="18" t="n"/>
      <c r="J652" s="37" t="n"/>
      <c r="K652" s="37" t="n"/>
      <c r="L652" s="43">
        <f>IF(C652="","",SUMIFS($J$7:J652,$C$7:C652,C652)-SUMIFS($K$7:K652,$C$7:C652,C652))</f>
        <v/>
      </c>
      <c r="N652">
        <f>IF(AND(C652&lt;&gt;"",C652='Tenant Statement'!$C$6),COUNTIF($C$7:C652,'Tenant Statement'!$C$6),"")</f>
        <v/>
      </c>
    </row>
    <row r="653">
      <c r="B653" s="41" t="n"/>
      <c r="C653" s="18" t="n"/>
      <c r="D653" s="42">
        <f>IF(C653="","",IFERROR(INDEX(TenantProperty,MATCH(C653,Tenants,0)),""))</f>
        <v/>
      </c>
      <c r="E653" s="42">
        <f>IF(C653="","",IFERROR(INDEX(TenantUnit,MATCH(C653,Tenants,0)),""))</f>
        <v/>
      </c>
      <c r="F653" s="18" t="n"/>
      <c r="G653" s="18" t="n"/>
      <c r="H653" s="18" t="n"/>
      <c r="I653" s="18" t="n"/>
      <c r="J653" s="37" t="n"/>
      <c r="K653" s="37" t="n"/>
      <c r="L653" s="43">
        <f>IF(C653="","",SUMIFS($J$7:J653,$C$7:C653,C653)-SUMIFS($K$7:K653,$C$7:C653,C653))</f>
        <v/>
      </c>
      <c r="N653">
        <f>IF(AND(C653&lt;&gt;"",C653='Tenant Statement'!$C$6),COUNTIF($C$7:C653,'Tenant Statement'!$C$6),"")</f>
        <v/>
      </c>
    </row>
    <row r="654">
      <c r="B654" s="41" t="n"/>
      <c r="C654" s="18" t="n"/>
      <c r="D654" s="42">
        <f>IF(C654="","",IFERROR(INDEX(TenantProperty,MATCH(C654,Tenants,0)),""))</f>
        <v/>
      </c>
      <c r="E654" s="42">
        <f>IF(C654="","",IFERROR(INDEX(TenantUnit,MATCH(C654,Tenants,0)),""))</f>
        <v/>
      </c>
      <c r="F654" s="18" t="n"/>
      <c r="G654" s="18" t="n"/>
      <c r="H654" s="18" t="n"/>
      <c r="I654" s="18" t="n"/>
      <c r="J654" s="37" t="n"/>
      <c r="K654" s="37" t="n"/>
      <c r="L654" s="43">
        <f>IF(C654="","",SUMIFS($J$7:J654,$C$7:C654,C654)-SUMIFS($K$7:K654,$C$7:C654,C654))</f>
        <v/>
      </c>
      <c r="N654">
        <f>IF(AND(C654&lt;&gt;"",C654='Tenant Statement'!$C$6),COUNTIF($C$7:C654,'Tenant Statement'!$C$6),"")</f>
        <v/>
      </c>
    </row>
    <row r="655">
      <c r="B655" s="41" t="n"/>
      <c r="C655" s="18" t="n"/>
      <c r="D655" s="42">
        <f>IF(C655="","",IFERROR(INDEX(TenantProperty,MATCH(C655,Tenants,0)),""))</f>
        <v/>
      </c>
      <c r="E655" s="42">
        <f>IF(C655="","",IFERROR(INDEX(TenantUnit,MATCH(C655,Tenants,0)),""))</f>
        <v/>
      </c>
      <c r="F655" s="18" t="n"/>
      <c r="G655" s="18" t="n"/>
      <c r="H655" s="18" t="n"/>
      <c r="I655" s="18" t="n"/>
      <c r="J655" s="37" t="n"/>
      <c r="K655" s="37" t="n"/>
      <c r="L655" s="43">
        <f>IF(C655="","",SUMIFS($J$7:J655,$C$7:C655,C655)-SUMIFS($K$7:K655,$C$7:C655,C655))</f>
        <v/>
      </c>
      <c r="N655">
        <f>IF(AND(C655&lt;&gt;"",C655='Tenant Statement'!$C$6),COUNTIF($C$7:C655,'Tenant Statement'!$C$6),"")</f>
        <v/>
      </c>
    </row>
    <row r="656">
      <c r="B656" s="41" t="n"/>
      <c r="C656" s="18" t="n"/>
      <c r="D656" s="42">
        <f>IF(C656="","",IFERROR(INDEX(TenantProperty,MATCH(C656,Tenants,0)),""))</f>
        <v/>
      </c>
      <c r="E656" s="42">
        <f>IF(C656="","",IFERROR(INDEX(TenantUnit,MATCH(C656,Tenants,0)),""))</f>
        <v/>
      </c>
      <c r="F656" s="18" t="n"/>
      <c r="G656" s="18" t="n"/>
      <c r="H656" s="18" t="n"/>
      <c r="I656" s="18" t="n"/>
      <c r="J656" s="37" t="n"/>
      <c r="K656" s="37" t="n"/>
      <c r="L656" s="43">
        <f>IF(C656="","",SUMIFS($J$7:J656,$C$7:C656,C656)-SUMIFS($K$7:K656,$C$7:C656,C656))</f>
        <v/>
      </c>
      <c r="N656">
        <f>IF(AND(C656&lt;&gt;"",C656='Tenant Statement'!$C$6),COUNTIF($C$7:C656,'Tenant Statement'!$C$6),"")</f>
        <v/>
      </c>
    </row>
    <row r="657">
      <c r="B657" s="41" t="n"/>
      <c r="C657" s="18" t="n"/>
      <c r="D657" s="42">
        <f>IF(C657="","",IFERROR(INDEX(TenantProperty,MATCH(C657,Tenants,0)),""))</f>
        <v/>
      </c>
      <c r="E657" s="42">
        <f>IF(C657="","",IFERROR(INDEX(TenantUnit,MATCH(C657,Tenants,0)),""))</f>
        <v/>
      </c>
      <c r="F657" s="18" t="n"/>
      <c r="G657" s="18" t="n"/>
      <c r="H657" s="18" t="n"/>
      <c r="I657" s="18" t="n"/>
      <c r="J657" s="37" t="n"/>
      <c r="K657" s="37" t="n"/>
      <c r="L657" s="43">
        <f>IF(C657="","",SUMIFS($J$7:J657,$C$7:C657,C657)-SUMIFS($K$7:K657,$C$7:C657,C657))</f>
        <v/>
      </c>
      <c r="N657">
        <f>IF(AND(C657&lt;&gt;"",C657='Tenant Statement'!$C$6),COUNTIF($C$7:C657,'Tenant Statement'!$C$6),"")</f>
        <v/>
      </c>
    </row>
    <row r="658">
      <c r="B658" s="41" t="n"/>
      <c r="C658" s="18" t="n"/>
      <c r="D658" s="42">
        <f>IF(C658="","",IFERROR(INDEX(TenantProperty,MATCH(C658,Tenants,0)),""))</f>
        <v/>
      </c>
      <c r="E658" s="42">
        <f>IF(C658="","",IFERROR(INDEX(TenantUnit,MATCH(C658,Tenants,0)),""))</f>
        <v/>
      </c>
      <c r="F658" s="18" t="n"/>
      <c r="G658" s="18" t="n"/>
      <c r="H658" s="18" t="n"/>
      <c r="I658" s="18" t="n"/>
      <c r="J658" s="37" t="n"/>
      <c r="K658" s="37" t="n"/>
      <c r="L658" s="43">
        <f>IF(C658="","",SUMIFS($J$7:J658,$C$7:C658,C658)-SUMIFS($K$7:K658,$C$7:C658,C658))</f>
        <v/>
      </c>
      <c r="N658">
        <f>IF(AND(C658&lt;&gt;"",C658='Tenant Statement'!$C$6),COUNTIF($C$7:C658,'Tenant Statement'!$C$6),"")</f>
        <v/>
      </c>
    </row>
    <row r="659">
      <c r="B659" s="41" t="n"/>
      <c r="C659" s="18" t="n"/>
      <c r="D659" s="42">
        <f>IF(C659="","",IFERROR(INDEX(TenantProperty,MATCH(C659,Tenants,0)),""))</f>
        <v/>
      </c>
      <c r="E659" s="42">
        <f>IF(C659="","",IFERROR(INDEX(TenantUnit,MATCH(C659,Tenants,0)),""))</f>
        <v/>
      </c>
      <c r="F659" s="18" t="n"/>
      <c r="G659" s="18" t="n"/>
      <c r="H659" s="18" t="n"/>
      <c r="I659" s="18" t="n"/>
      <c r="J659" s="37" t="n"/>
      <c r="K659" s="37" t="n"/>
      <c r="L659" s="43">
        <f>IF(C659="","",SUMIFS($J$7:J659,$C$7:C659,C659)-SUMIFS($K$7:K659,$C$7:C659,C659))</f>
        <v/>
      </c>
      <c r="N659">
        <f>IF(AND(C659&lt;&gt;"",C659='Tenant Statement'!$C$6),COUNTIF($C$7:C659,'Tenant Statement'!$C$6),"")</f>
        <v/>
      </c>
    </row>
    <row r="660">
      <c r="B660" s="41" t="n"/>
      <c r="C660" s="18" t="n"/>
      <c r="D660" s="42">
        <f>IF(C660="","",IFERROR(INDEX(TenantProperty,MATCH(C660,Tenants,0)),""))</f>
        <v/>
      </c>
      <c r="E660" s="42">
        <f>IF(C660="","",IFERROR(INDEX(TenantUnit,MATCH(C660,Tenants,0)),""))</f>
        <v/>
      </c>
      <c r="F660" s="18" t="n"/>
      <c r="G660" s="18" t="n"/>
      <c r="H660" s="18" t="n"/>
      <c r="I660" s="18" t="n"/>
      <c r="J660" s="37" t="n"/>
      <c r="K660" s="37" t="n"/>
      <c r="L660" s="43">
        <f>IF(C660="","",SUMIFS($J$7:J660,$C$7:C660,C660)-SUMIFS($K$7:K660,$C$7:C660,C660))</f>
        <v/>
      </c>
      <c r="N660">
        <f>IF(AND(C660&lt;&gt;"",C660='Tenant Statement'!$C$6),COUNTIF($C$7:C660,'Tenant Statement'!$C$6),"")</f>
        <v/>
      </c>
    </row>
    <row r="661">
      <c r="B661" s="41" t="n"/>
      <c r="C661" s="18" t="n"/>
      <c r="D661" s="42">
        <f>IF(C661="","",IFERROR(INDEX(TenantProperty,MATCH(C661,Tenants,0)),""))</f>
        <v/>
      </c>
      <c r="E661" s="42">
        <f>IF(C661="","",IFERROR(INDEX(TenantUnit,MATCH(C661,Tenants,0)),""))</f>
        <v/>
      </c>
      <c r="F661" s="18" t="n"/>
      <c r="G661" s="18" t="n"/>
      <c r="H661" s="18" t="n"/>
      <c r="I661" s="18" t="n"/>
      <c r="J661" s="37" t="n"/>
      <c r="K661" s="37" t="n"/>
      <c r="L661" s="43">
        <f>IF(C661="","",SUMIFS($J$7:J661,$C$7:C661,C661)-SUMIFS($K$7:K661,$C$7:C661,C661))</f>
        <v/>
      </c>
      <c r="N661">
        <f>IF(AND(C661&lt;&gt;"",C661='Tenant Statement'!$C$6),COUNTIF($C$7:C661,'Tenant Statement'!$C$6),"")</f>
        <v/>
      </c>
    </row>
    <row r="662">
      <c r="B662" s="41" t="n"/>
      <c r="C662" s="18" t="n"/>
      <c r="D662" s="42">
        <f>IF(C662="","",IFERROR(INDEX(TenantProperty,MATCH(C662,Tenants,0)),""))</f>
        <v/>
      </c>
      <c r="E662" s="42">
        <f>IF(C662="","",IFERROR(INDEX(TenantUnit,MATCH(C662,Tenants,0)),""))</f>
        <v/>
      </c>
      <c r="F662" s="18" t="n"/>
      <c r="G662" s="18" t="n"/>
      <c r="H662" s="18" t="n"/>
      <c r="I662" s="18" t="n"/>
      <c r="J662" s="37" t="n"/>
      <c r="K662" s="37" t="n"/>
      <c r="L662" s="43">
        <f>IF(C662="","",SUMIFS($J$7:J662,$C$7:C662,C662)-SUMIFS($K$7:K662,$C$7:C662,C662))</f>
        <v/>
      </c>
      <c r="N662">
        <f>IF(AND(C662&lt;&gt;"",C662='Tenant Statement'!$C$6),COUNTIF($C$7:C662,'Tenant Statement'!$C$6),"")</f>
        <v/>
      </c>
    </row>
    <row r="663">
      <c r="B663" s="41" t="n"/>
      <c r="C663" s="18" t="n"/>
      <c r="D663" s="42">
        <f>IF(C663="","",IFERROR(INDEX(TenantProperty,MATCH(C663,Tenants,0)),""))</f>
        <v/>
      </c>
      <c r="E663" s="42">
        <f>IF(C663="","",IFERROR(INDEX(TenantUnit,MATCH(C663,Tenants,0)),""))</f>
        <v/>
      </c>
      <c r="F663" s="18" t="n"/>
      <c r="G663" s="18" t="n"/>
      <c r="H663" s="18" t="n"/>
      <c r="I663" s="18" t="n"/>
      <c r="J663" s="37" t="n"/>
      <c r="K663" s="37" t="n"/>
      <c r="L663" s="43">
        <f>IF(C663="","",SUMIFS($J$7:J663,$C$7:C663,C663)-SUMIFS($K$7:K663,$C$7:C663,C663))</f>
        <v/>
      </c>
      <c r="N663">
        <f>IF(AND(C663&lt;&gt;"",C663='Tenant Statement'!$C$6),COUNTIF($C$7:C663,'Tenant Statement'!$C$6),"")</f>
        <v/>
      </c>
    </row>
    <row r="664">
      <c r="B664" s="41" t="n"/>
      <c r="C664" s="18" t="n"/>
      <c r="D664" s="42">
        <f>IF(C664="","",IFERROR(INDEX(TenantProperty,MATCH(C664,Tenants,0)),""))</f>
        <v/>
      </c>
      <c r="E664" s="42">
        <f>IF(C664="","",IFERROR(INDEX(TenantUnit,MATCH(C664,Tenants,0)),""))</f>
        <v/>
      </c>
      <c r="F664" s="18" t="n"/>
      <c r="G664" s="18" t="n"/>
      <c r="H664" s="18" t="n"/>
      <c r="I664" s="18" t="n"/>
      <c r="J664" s="37" t="n"/>
      <c r="K664" s="37" t="n"/>
      <c r="L664" s="43">
        <f>IF(C664="","",SUMIFS($J$7:J664,$C$7:C664,C664)-SUMIFS($K$7:K664,$C$7:C664,C664))</f>
        <v/>
      </c>
      <c r="N664">
        <f>IF(AND(C664&lt;&gt;"",C664='Tenant Statement'!$C$6),COUNTIF($C$7:C664,'Tenant Statement'!$C$6),"")</f>
        <v/>
      </c>
    </row>
    <row r="665">
      <c r="B665" s="41" t="n"/>
      <c r="C665" s="18" t="n"/>
      <c r="D665" s="42">
        <f>IF(C665="","",IFERROR(INDEX(TenantProperty,MATCH(C665,Tenants,0)),""))</f>
        <v/>
      </c>
      <c r="E665" s="42">
        <f>IF(C665="","",IFERROR(INDEX(TenantUnit,MATCH(C665,Tenants,0)),""))</f>
        <v/>
      </c>
      <c r="F665" s="18" t="n"/>
      <c r="G665" s="18" t="n"/>
      <c r="H665" s="18" t="n"/>
      <c r="I665" s="18" t="n"/>
      <c r="J665" s="37" t="n"/>
      <c r="K665" s="37" t="n"/>
      <c r="L665" s="43">
        <f>IF(C665="","",SUMIFS($J$7:J665,$C$7:C665,C665)-SUMIFS($K$7:K665,$C$7:C665,C665))</f>
        <v/>
      </c>
      <c r="N665">
        <f>IF(AND(C665&lt;&gt;"",C665='Tenant Statement'!$C$6),COUNTIF($C$7:C665,'Tenant Statement'!$C$6),"")</f>
        <v/>
      </c>
    </row>
    <row r="666">
      <c r="B666" s="41" t="n"/>
      <c r="C666" s="18" t="n"/>
      <c r="D666" s="42">
        <f>IF(C666="","",IFERROR(INDEX(TenantProperty,MATCH(C666,Tenants,0)),""))</f>
        <v/>
      </c>
      <c r="E666" s="42">
        <f>IF(C666="","",IFERROR(INDEX(TenantUnit,MATCH(C666,Tenants,0)),""))</f>
        <v/>
      </c>
      <c r="F666" s="18" t="n"/>
      <c r="G666" s="18" t="n"/>
      <c r="H666" s="18" t="n"/>
      <c r="I666" s="18" t="n"/>
      <c r="J666" s="37" t="n"/>
      <c r="K666" s="37" t="n"/>
      <c r="L666" s="43">
        <f>IF(C666="","",SUMIFS($J$7:J666,$C$7:C666,C666)-SUMIFS($K$7:K666,$C$7:C666,C666))</f>
        <v/>
      </c>
      <c r="N666">
        <f>IF(AND(C666&lt;&gt;"",C666='Tenant Statement'!$C$6),COUNTIF($C$7:C666,'Tenant Statement'!$C$6),"")</f>
        <v/>
      </c>
    </row>
    <row r="667">
      <c r="B667" s="41" t="n"/>
      <c r="C667" s="18" t="n"/>
      <c r="D667" s="42">
        <f>IF(C667="","",IFERROR(INDEX(TenantProperty,MATCH(C667,Tenants,0)),""))</f>
        <v/>
      </c>
      <c r="E667" s="42">
        <f>IF(C667="","",IFERROR(INDEX(TenantUnit,MATCH(C667,Tenants,0)),""))</f>
        <v/>
      </c>
      <c r="F667" s="18" t="n"/>
      <c r="G667" s="18" t="n"/>
      <c r="H667" s="18" t="n"/>
      <c r="I667" s="18" t="n"/>
      <c r="J667" s="37" t="n"/>
      <c r="K667" s="37" t="n"/>
      <c r="L667" s="43">
        <f>IF(C667="","",SUMIFS($J$7:J667,$C$7:C667,C667)-SUMIFS($K$7:K667,$C$7:C667,C667))</f>
        <v/>
      </c>
      <c r="N667">
        <f>IF(AND(C667&lt;&gt;"",C667='Tenant Statement'!$C$6),COUNTIF($C$7:C667,'Tenant Statement'!$C$6),"")</f>
        <v/>
      </c>
    </row>
    <row r="668">
      <c r="B668" s="41" t="n"/>
      <c r="C668" s="18" t="n"/>
      <c r="D668" s="42">
        <f>IF(C668="","",IFERROR(INDEX(TenantProperty,MATCH(C668,Tenants,0)),""))</f>
        <v/>
      </c>
      <c r="E668" s="42">
        <f>IF(C668="","",IFERROR(INDEX(TenantUnit,MATCH(C668,Tenants,0)),""))</f>
        <v/>
      </c>
      <c r="F668" s="18" t="n"/>
      <c r="G668" s="18" t="n"/>
      <c r="H668" s="18" t="n"/>
      <c r="I668" s="18" t="n"/>
      <c r="J668" s="37" t="n"/>
      <c r="K668" s="37" t="n"/>
      <c r="L668" s="43">
        <f>IF(C668="","",SUMIFS($J$7:J668,$C$7:C668,C668)-SUMIFS($K$7:K668,$C$7:C668,C668))</f>
        <v/>
      </c>
      <c r="N668">
        <f>IF(AND(C668&lt;&gt;"",C668='Tenant Statement'!$C$6),COUNTIF($C$7:C668,'Tenant Statement'!$C$6),"")</f>
        <v/>
      </c>
    </row>
    <row r="669">
      <c r="B669" s="41" t="n"/>
      <c r="C669" s="18" t="n"/>
      <c r="D669" s="42">
        <f>IF(C669="","",IFERROR(INDEX(TenantProperty,MATCH(C669,Tenants,0)),""))</f>
        <v/>
      </c>
      <c r="E669" s="42">
        <f>IF(C669="","",IFERROR(INDEX(TenantUnit,MATCH(C669,Tenants,0)),""))</f>
        <v/>
      </c>
      <c r="F669" s="18" t="n"/>
      <c r="G669" s="18" t="n"/>
      <c r="H669" s="18" t="n"/>
      <c r="I669" s="18" t="n"/>
      <c r="J669" s="37" t="n"/>
      <c r="K669" s="37" t="n"/>
      <c r="L669" s="43">
        <f>IF(C669="","",SUMIFS($J$7:J669,$C$7:C669,C669)-SUMIFS($K$7:K669,$C$7:C669,C669))</f>
        <v/>
      </c>
      <c r="N669">
        <f>IF(AND(C669&lt;&gt;"",C669='Tenant Statement'!$C$6),COUNTIF($C$7:C669,'Tenant Statement'!$C$6),"")</f>
        <v/>
      </c>
    </row>
    <row r="670">
      <c r="B670" s="41" t="n"/>
      <c r="C670" s="18" t="n"/>
      <c r="D670" s="42">
        <f>IF(C670="","",IFERROR(INDEX(TenantProperty,MATCH(C670,Tenants,0)),""))</f>
        <v/>
      </c>
      <c r="E670" s="42">
        <f>IF(C670="","",IFERROR(INDEX(TenantUnit,MATCH(C670,Tenants,0)),""))</f>
        <v/>
      </c>
      <c r="F670" s="18" t="n"/>
      <c r="G670" s="18" t="n"/>
      <c r="H670" s="18" t="n"/>
      <c r="I670" s="18" t="n"/>
      <c r="J670" s="37" t="n"/>
      <c r="K670" s="37" t="n"/>
      <c r="L670" s="43">
        <f>IF(C670="","",SUMIFS($J$7:J670,$C$7:C670,C670)-SUMIFS($K$7:K670,$C$7:C670,C670))</f>
        <v/>
      </c>
      <c r="N670">
        <f>IF(AND(C670&lt;&gt;"",C670='Tenant Statement'!$C$6),COUNTIF($C$7:C670,'Tenant Statement'!$C$6),"")</f>
        <v/>
      </c>
    </row>
    <row r="671">
      <c r="B671" s="41" t="n"/>
      <c r="C671" s="18" t="n"/>
      <c r="D671" s="42">
        <f>IF(C671="","",IFERROR(INDEX(TenantProperty,MATCH(C671,Tenants,0)),""))</f>
        <v/>
      </c>
      <c r="E671" s="42">
        <f>IF(C671="","",IFERROR(INDEX(TenantUnit,MATCH(C671,Tenants,0)),""))</f>
        <v/>
      </c>
      <c r="F671" s="18" t="n"/>
      <c r="G671" s="18" t="n"/>
      <c r="H671" s="18" t="n"/>
      <c r="I671" s="18" t="n"/>
      <c r="J671" s="37" t="n"/>
      <c r="K671" s="37" t="n"/>
      <c r="L671" s="43">
        <f>IF(C671="","",SUMIFS($J$7:J671,$C$7:C671,C671)-SUMIFS($K$7:K671,$C$7:C671,C671))</f>
        <v/>
      </c>
      <c r="N671">
        <f>IF(AND(C671&lt;&gt;"",C671='Tenant Statement'!$C$6),COUNTIF($C$7:C671,'Tenant Statement'!$C$6),"")</f>
        <v/>
      </c>
    </row>
    <row r="672">
      <c r="B672" s="41" t="n"/>
      <c r="C672" s="18" t="n"/>
      <c r="D672" s="42">
        <f>IF(C672="","",IFERROR(INDEX(TenantProperty,MATCH(C672,Tenants,0)),""))</f>
        <v/>
      </c>
      <c r="E672" s="42">
        <f>IF(C672="","",IFERROR(INDEX(TenantUnit,MATCH(C672,Tenants,0)),""))</f>
        <v/>
      </c>
      <c r="F672" s="18" t="n"/>
      <c r="G672" s="18" t="n"/>
      <c r="H672" s="18" t="n"/>
      <c r="I672" s="18" t="n"/>
      <c r="J672" s="37" t="n"/>
      <c r="K672" s="37" t="n"/>
      <c r="L672" s="43">
        <f>IF(C672="","",SUMIFS($J$7:J672,$C$7:C672,C672)-SUMIFS($K$7:K672,$C$7:C672,C672))</f>
        <v/>
      </c>
      <c r="N672">
        <f>IF(AND(C672&lt;&gt;"",C672='Tenant Statement'!$C$6),COUNTIF($C$7:C672,'Tenant Statement'!$C$6),"")</f>
        <v/>
      </c>
    </row>
    <row r="673">
      <c r="B673" s="41" t="n"/>
      <c r="C673" s="18" t="n"/>
      <c r="D673" s="42">
        <f>IF(C673="","",IFERROR(INDEX(TenantProperty,MATCH(C673,Tenants,0)),""))</f>
        <v/>
      </c>
      <c r="E673" s="42">
        <f>IF(C673="","",IFERROR(INDEX(TenantUnit,MATCH(C673,Tenants,0)),""))</f>
        <v/>
      </c>
      <c r="F673" s="18" t="n"/>
      <c r="G673" s="18" t="n"/>
      <c r="H673" s="18" t="n"/>
      <c r="I673" s="18" t="n"/>
      <c r="J673" s="37" t="n"/>
      <c r="K673" s="37" t="n"/>
      <c r="L673" s="43">
        <f>IF(C673="","",SUMIFS($J$7:J673,$C$7:C673,C673)-SUMIFS($K$7:K673,$C$7:C673,C673))</f>
        <v/>
      </c>
      <c r="N673">
        <f>IF(AND(C673&lt;&gt;"",C673='Tenant Statement'!$C$6),COUNTIF($C$7:C673,'Tenant Statement'!$C$6),"")</f>
        <v/>
      </c>
    </row>
    <row r="674">
      <c r="B674" s="41" t="n"/>
      <c r="C674" s="18" t="n"/>
      <c r="D674" s="42">
        <f>IF(C674="","",IFERROR(INDEX(TenantProperty,MATCH(C674,Tenants,0)),""))</f>
        <v/>
      </c>
      <c r="E674" s="42">
        <f>IF(C674="","",IFERROR(INDEX(TenantUnit,MATCH(C674,Tenants,0)),""))</f>
        <v/>
      </c>
      <c r="F674" s="18" t="n"/>
      <c r="G674" s="18" t="n"/>
      <c r="H674" s="18" t="n"/>
      <c r="I674" s="18" t="n"/>
      <c r="J674" s="37" t="n"/>
      <c r="K674" s="37" t="n"/>
      <c r="L674" s="43">
        <f>IF(C674="","",SUMIFS($J$7:J674,$C$7:C674,C674)-SUMIFS($K$7:K674,$C$7:C674,C674))</f>
        <v/>
      </c>
      <c r="N674">
        <f>IF(AND(C674&lt;&gt;"",C674='Tenant Statement'!$C$6),COUNTIF($C$7:C674,'Tenant Statement'!$C$6),"")</f>
        <v/>
      </c>
    </row>
    <row r="675">
      <c r="B675" s="41" t="n"/>
      <c r="C675" s="18" t="n"/>
      <c r="D675" s="42">
        <f>IF(C675="","",IFERROR(INDEX(TenantProperty,MATCH(C675,Tenants,0)),""))</f>
        <v/>
      </c>
      <c r="E675" s="42">
        <f>IF(C675="","",IFERROR(INDEX(TenantUnit,MATCH(C675,Tenants,0)),""))</f>
        <v/>
      </c>
      <c r="F675" s="18" t="n"/>
      <c r="G675" s="18" t="n"/>
      <c r="H675" s="18" t="n"/>
      <c r="I675" s="18" t="n"/>
      <c r="J675" s="37" t="n"/>
      <c r="K675" s="37" t="n"/>
      <c r="L675" s="43">
        <f>IF(C675="","",SUMIFS($J$7:J675,$C$7:C675,C675)-SUMIFS($K$7:K675,$C$7:C675,C675))</f>
        <v/>
      </c>
      <c r="N675">
        <f>IF(AND(C675&lt;&gt;"",C675='Tenant Statement'!$C$6),COUNTIF($C$7:C675,'Tenant Statement'!$C$6),"")</f>
        <v/>
      </c>
    </row>
    <row r="676">
      <c r="B676" s="41" t="n"/>
      <c r="C676" s="18" t="n"/>
      <c r="D676" s="42">
        <f>IF(C676="","",IFERROR(INDEX(TenantProperty,MATCH(C676,Tenants,0)),""))</f>
        <v/>
      </c>
      <c r="E676" s="42">
        <f>IF(C676="","",IFERROR(INDEX(TenantUnit,MATCH(C676,Tenants,0)),""))</f>
        <v/>
      </c>
      <c r="F676" s="18" t="n"/>
      <c r="G676" s="18" t="n"/>
      <c r="H676" s="18" t="n"/>
      <c r="I676" s="18" t="n"/>
      <c r="J676" s="37" t="n"/>
      <c r="K676" s="37" t="n"/>
      <c r="L676" s="43">
        <f>IF(C676="","",SUMIFS($J$7:J676,$C$7:C676,C676)-SUMIFS($K$7:K676,$C$7:C676,C676))</f>
        <v/>
      </c>
      <c r="N676">
        <f>IF(AND(C676&lt;&gt;"",C676='Tenant Statement'!$C$6),COUNTIF($C$7:C676,'Tenant Statement'!$C$6),"")</f>
        <v/>
      </c>
    </row>
    <row r="677">
      <c r="B677" s="41" t="n"/>
      <c r="C677" s="18" t="n"/>
      <c r="D677" s="42">
        <f>IF(C677="","",IFERROR(INDEX(TenantProperty,MATCH(C677,Tenants,0)),""))</f>
        <v/>
      </c>
      <c r="E677" s="42">
        <f>IF(C677="","",IFERROR(INDEX(TenantUnit,MATCH(C677,Tenants,0)),""))</f>
        <v/>
      </c>
      <c r="F677" s="18" t="n"/>
      <c r="G677" s="18" t="n"/>
      <c r="H677" s="18" t="n"/>
      <c r="I677" s="18" t="n"/>
      <c r="J677" s="37" t="n"/>
      <c r="K677" s="37" t="n"/>
      <c r="L677" s="43">
        <f>IF(C677="","",SUMIFS($J$7:J677,$C$7:C677,C677)-SUMIFS($K$7:K677,$C$7:C677,C677))</f>
        <v/>
      </c>
      <c r="N677">
        <f>IF(AND(C677&lt;&gt;"",C677='Tenant Statement'!$C$6),COUNTIF($C$7:C677,'Tenant Statement'!$C$6),"")</f>
        <v/>
      </c>
    </row>
    <row r="678">
      <c r="B678" s="41" t="n"/>
      <c r="C678" s="18" t="n"/>
      <c r="D678" s="42">
        <f>IF(C678="","",IFERROR(INDEX(TenantProperty,MATCH(C678,Tenants,0)),""))</f>
        <v/>
      </c>
      <c r="E678" s="42">
        <f>IF(C678="","",IFERROR(INDEX(TenantUnit,MATCH(C678,Tenants,0)),""))</f>
        <v/>
      </c>
      <c r="F678" s="18" t="n"/>
      <c r="G678" s="18" t="n"/>
      <c r="H678" s="18" t="n"/>
      <c r="I678" s="18" t="n"/>
      <c r="J678" s="37" t="n"/>
      <c r="K678" s="37" t="n"/>
      <c r="L678" s="43">
        <f>IF(C678="","",SUMIFS($J$7:J678,$C$7:C678,C678)-SUMIFS($K$7:K678,$C$7:C678,C678))</f>
        <v/>
      </c>
      <c r="N678">
        <f>IF(AND(C678&lt;&gt;"",C678='Tenant Statement'!$C$6),COUNTIF($C$7:C678,'Tenant Statement'!$C$6),"")</f>
        <v/>
      </c>
    </row>
    <row r="679">
      <c r="B679" s="41" t="n"/>
      <c r="C679" s="18" t="n"/>
      <c r="D679" s="42">
        <f>IF(C679="","",IFERROR(INDEX(TenantProperty,MATCH(C679,Tenants,0)),""))</f>
        <v/>
      </c>
      <c r="E679" s="42">
        <f>IF(C679="","",IFERROR(INDEX(TenantUnit,MATCH(C679,Tenants,0)),""))</f>
        <v/>
      </c>
      <c r="F679" s="18" t="n"/>
      <c r="G679" s="18" t="n"/>
      <c r="H679" s="18" t="n"/>
      <c r="I679" s="18" t="n"/>
      <c r="J679" s="37" t="n"/>
      <c r="K679" s="37" t="n"/>
      <c r="L679" s="43">
        <f>IF(C679="","",SUMIFS($J$7:J679,$C$7:C679,C679)-SUMIFS($K$7:K679,$C$7:C679,C679))</f>
        <v/>
      </c>
      <c r="N679">
        <f>IF(AND(C679&lt;&gt;"",C679='Tenant Statement'!$C$6),COUNTIF($C$7:C679,'Tenant Statement'!$C$6),"")</f>
        <v/>
      </c>
    </row>
    <row r="680">
      <c r="B680" s="41" t="n"/>
      <c r="C680" s="18" t="n"/>
      <c r="D680" s="42">
        <f>IF(C680="","",IFERROR(INDEX(TenantProperty,MATCH(C680,Tenants,0)),""))</f>
        <v/>
      </c>
      <c r="E680" s="42">
        <f>IF(C680="","",IFERROR(INDEX(TenantUnit,MATCH(C680,Tenants,0)),""))</f>
        <v/>
      </c>
      <c r="F680" s="18" t="n"/>
      <c r="G680" s="18" t="n"/>
      <c r="H680" s="18" t="n"/>
      <c r="I680" s="18" t="n"/>
      <c r="J680" s="37" t="n"/>
      <c r="K680" s="37" t="n"/>
      <c r="L680" s="43">
        <f>IF(C680="","",SUMIFS($J$7:J680,$C$7:C680,C680)-SUMIFS($K$7:K680,$C$7:C680,C680))</f>
        <v/>
      </c>
      <c r="N680">
        <f>IF(AND(C680&lt;&gt;"",C680='Tenant Statement'!$C$6),COUNTIF($C$7:C680,'Tenant Statement'!$C$6),"")</f>
        <v/>
      </c>
    </row>
    <row r="681">
      <c r="B681" s="41" t="n"/>
      <c r="C681" s="18" t="n"/>
      <c r="D681" s="42">
        <f>IF(C681="","",IFERROR(INDEX(TenantProperty,MATCH(C681,Tenants,0)),""))</f>
        <v/>
      </c>
      <c r="E681" s="42">
        <f>IF(C681="","",IFERROR(INDEX(TenantUnit,MATCH(C681,Tenants,0)),""))</f>
        <v/>
      </c>
      <c r="F681" s="18" t="n"/>
      <c r="G681" s="18" t="n"/>
      <c r="H681" s="18" t="n"/>
      <c r="I681" s="18" t="n"/>
      <c r="J681" s="37" t="n"/>
      <c r="K681" s="37" t="n"/>
      <c r="L681" s="43">
        <f>IF(C681="","",SUMIFS($J$7:J681,$C$7:C681,C681)-SUMIFS($K$7:K681,$C$7:C681,C681))</f>
        <v/>
      </c>
      <c r="N681">
        <f>IF(AND(C681&lt;&gt;"",C681='Tenant Statement'!$C$6),COUNTIF($C$7:C681,'Tenant Statement'!$C$6),"")</f>
        <v/>
      </c>
    </row>
    <row r="682">
      <c r="B682" s="41" t="n"/>
      <c r="C682" s="18" t="n"/>
      <c r="D682" s="42">
        <f>IF(C682="","",IFERROR(INDEX(TenantProperty,MATCH(C682,Tenants,0)),""))</f>
        <v/>
      </c>
      <c r="E682" s="42">
        <f>IF(C682="","",IFERROR(INDEX(TenantUnit,MATCH(C682,Tenants,0)),""))</f>
        <v/>
      </c>
      <c r="F682" s="18" t="n"/>
      <c r="G682" s="18" t="n"/>
      <c r="H682" s="18" t="n"/>
      <c r="I682" s="18" t="n"/>
      <c r="J682" s="37" t="n"/>
      <c r="K682" s="37" t="n"/>
      <c r="L682" s="43">
        <f>IF(C682="","",SUMIFS($J$7:J682,$C$7:C682,C682)-SUMIFS($K$7:K682,$C$7:C682,C682))</f>
        <v/>
      </c>
      <c r="N682">
        <f>IF(AND(C682&lt;&gt;"",C682='Tenant Statement'!$C$6),COUNTIF($C$7:C682,'Tenant Statement'!$C$6),"")</f>
        <v/>
      </c>
    </row>
    <row r="683">
      <c r="B683" s="41" t="n"/>
      <c r="C683" s="18" t="n"/>
      <c r="D683" s="42">
        <f>IF(C683="","",IFERROR(INDEX(TenantProperty,MATCH(C683,Tenants,0)),""))</f>
        <v/>
      </c>
      <c r="E683" s="42">
        <f>IF(C683="","",IFERROR(INDEX(TenantUnit,MATCH(C683,Tenants,0)),""))</f>
        <v/>
      </c>
      <c r="F683" s="18" t="n"/>
      <c r="G683" s="18" t="n"/>
      <c r="H683" s="18" t="n"/>
      <c r="I683" s="18" t="n"/>
      <c r="J683" s="37" t="n"/>
      <c r="K683" s="37" t="n"/>
      <c r="L683" s="43">
        <f>IF(C683="","",SUMIFS($J$7:J683,$C$7:C683,C683)-SUMIFS($K$7:K683,$C$7:C683,C683))</f>
        <v/>
      </c>
      <c r="N683">
        <f>IF(AND(C683&lt;&gt;"",C683='Tenant Statement'!$C$6),COUNTIF($C$7:C683,'Tenant Statement'!$C$6),"")</f>
        <v/>
      </c>
    </row>
    <row r="684">
      <c r="B684" s="41" t="n"/>
      <c r="C684" s="18" t="n"/>
      <c r="D684" s="42">
        <f>IF(C684="","",IFERROR(INDEX(TenantProperty,MATCH(C684,Tenants,0)),""))</f>
        <v/>
      </c>
      <c r="E684" s="42">
        <f>IF(C684="","",IFERROR(INDEX(TenantUnit,MATCH(C684,Tenants,0)),""))</f>
        <v/>
      </c>
      <c r="F684" s="18" t="n"/>
      <c r="G684" s="18" t="n"/>
      <c r="H684" s="18" t="n"/>
      <c r="I684" s="18" t="n"/>
      <c r="J684" s="37" t="n"/>
      <c r="K684" s="37" t="n"/>
      <c r="L684" s="43">
        <f>IF(C684="","",SUMIFS($J$7:J684,$C$7:C684,C684)-SUMIFS($K$7:K684,$C$7:C684,C684))</f>
        <v/>
      </c>
      <c r="N684">
        <f>IF(AND(C684&lt;&gt;"",C684='Tenant Statement'!$C$6),COUNTIF($C$7:C684,'Tenant Statement'!$C$6),"")</f>
        <v/>
      </c>
    </row>
    <row r="685">
      <c r="B685" s="41" t="n"/>
      <c r="C685" s="18" t="n"/>
      <c r="D685" s="42">
        <f>IF(C685="","",IFERROR(INDEX(TenantProperty,MATCH(C685,Tenants,0)),""))</f>
        <v/>
      </c>
      <c r="E685" s="42">
        <f>IF(C685="","",IFERROR(INDEX(TenantUnit,MATCH(C685,Tenants,0)),""))</f>
        <v/>
      </c>
      <c r="F685" s="18" t="n"/>
      <c r="G685" s="18" t="n"/>
      <c r="H685" s="18" t="n"/>
      <c r="I685" s="18" t="n"/>
      <c r="J685" s="37" t="n"/>
      <c r="K685" s="37" t="n"/>
      <c r="L685" s="43">
        <f>IF(C685="","",SUMIFS($J$7:J685,$C$7:C685,C685)-SUMIFS($K$7:K685,$C$7:C685,C685))</f>
        <v/>
      </c>
      <c r="N685">
        <f>IF(AND(C685&lt;&gt;"",C685='Tenant Statement'!$C$6),COUNTIF($C$7:C685,'Tenant Statement'!$C$6),"")</f>
        <v/>
      </c>
    </row>
    <row r="686">
      <c r="B686" s="41" t="n"/>
      <c r="C686" s="18" t="n"/>
      <c r="D686" s="42">
        <f>IF(C686="","",IFERROR(INDEX(TenantProperty,MATCH(C686,Tenants,0)),""))</f>
        <v/>
      </c>
      <c r="E686" s="42">
        <f>IF(C686="","",IFERROR(INDEX(TenantUnit,MATCH(C686,Tenants,0)),""))</f>
        <v/>
      </c>
      <c r="F686" s="18" t="n"/>
      <c r="G686" s="18" t="n"/>
      <c r="H686" s="18" t="n"/>
      <c r="I686" s="18" t="n"/>
      <c r="J686" s="37" t="n"/>
      <c r="K686" s="37" t="n"/>
      <c r="L686" s="43">
        <f>IF(C686="","",SUMIFS($J$7:J686,$C$7:C686,C686)-SUMIFS($K$7:K686,$C$7:C686,C686))</f>
        <v/>
      </c>
      <c r="N686">
        <f>IF(AND(C686&lt;&gt;"",C686='Tenant Statement'!$C$6),COUNTIF($C$7:C686,'Tenant Statement'!$C$6),"")</f>
        <v/>
      </c>
    </row>
    <row r="687">
      <c r="B687" s="41" t="n"/>
      <c r="C687" s="18" t="n"/>
      <c r="D687" s="42">
        <f>IF(C687="","",IFERROR(INDEX(TenantProperty,MATCH(C687,Tenants,0)),""))</f>
        <v/>
      </c>
      <c r="E687" s="42">
        <f>IF(C687="","",IFERROR(INDEX(TenantUnit,MATCH(C687,Tenants,0)),""))</f>
        <v/>
      </c>
      <c r="F687" s="18" t="n"/>
      <c r="G687" s="18" t="n"/>
      <c r="H687" s="18" t="n"/>
      <c r="I687" s="18" t="n"/>
      <c r="J687" s="37" t="n"/>
      <c r="K687" s="37" t="n"/>
      <c r="L687" s="43">
        <f>IF(C687="","",SUMIFS($J$7:J687,$C$7:C687,C687)-SUMIFS($K$7:K687,$C$7:C687,C687))</f>
        <v/>
      </c>
      <c r="N687">
        <f>IF(AND(C687&lt;&gt;"",C687='Tenant Statement'!$C$6),COUNTIF($C$7:C687,'Tenant Statement'!$C$6),"")</f>
        <v/>
      </c>
    </row>
    <row r="688">
      <c r="B688" s="41" t="n"/>
      <c r="C688" s="18" t="n"/>
      <c r="D688" s="42">
        <f>IF(C688="","",IFERROR(INDEX(TenantProperty,MATCH(C688,Tenants,0)),""))</f>
        <v/>
      </c>
      <c r="E688" s="42">
        <f>IF(C688="","",IFERROR(INDEX(TenantUnit,MATCH(C688,Tenants,0)),""))</f>
        <v/>
      </c>
      <c r="F688" s="18" t="n"/>
      <c r="G688" s="18" t="n"/>
      <c r="H688" s="18" t="n"/>
      <c r="I688" s="18" t="n"/>
      <c r="J688" s="37" t="n"/>
      <c r="K688" s="37" t="n"/>
      <c r="L688" s="43">
        <f>IF(C688="","",SUMIFS($J$7:J688,$C$7:C688,C688)-SUMIFS($K$7:K688,$C$7:C688,C688))</f>
        <v/>
      </c>
      <c r="N688">
        <f>IF(AND(C688&lt;&gt;"",C688='Tenant Statement'!$C$6),COUNTIF($C$7:C688,'Tenant Statement'!$C$6),"")</f>
        <v/>
      </c>
    </row>
    <row r="689">
      <c r="B689" s="41" t="n"/>
      <c r="C689" s="18" t="n"/>
      <c r="D689" s="42">
        <f>IF(C689="","",IFERROR(INDEX(TenantProperty,MATCH(C689,Tenants,0)),""))</f>
        <v/>
      </c>
      <c r="E689" s="42">
        <f>IF(C689="","",IFERROR(INDEX(TenantUnit,MATCH(C689,Tenants,0)),""))</f>
        <v/>
      </c>
      <c r="F689" s="18" t="n"/>
      <c r="G689" s="18" t="n"/>
      <c r="H689" s="18" t="n"/>
      <c r="I689" s="18" t="n"/>
      <c r="J689" s="37" t="n"/>
      <c r="K689" s="37" t="n"/>
      <c r="L689" s="43">
        <f>IF(C689="","",SUMIFS($J$7:J689,$C$7:C689,C689)-SUMIFS($K$7:K689,$C$7:C689,C689))</f>
        <v/>
      </c>
      <c r="N689">
        <f>IF(AND(C689&lt;&gt;"",C689='Tenant Statement'!$C$6),COUNTIF($C$7:C689,'Tenant Statement'!$C$6),"")</f>
        <v/>
      </c>
    </row>
    <row r="690">
      <c r="B690" s="41" t="n"/>
      <c r="C690" s="18" t="n"/>
      <c r="D690" s="42">
        <f>IF(C690="","",IFERROR(INDEX(TenantProperty,MATCH(C690,Tenants,0)),""))</f>
        <v/>
      </c>
      <c r="E690" s="42">
        <f>IF(C690="","",IFERROR(INDEX(TenantUnit,MATCH(C690,Tenants,0)),""))</f>
        <v/>
      </c>
      <c r="F690" s="18" t="n"/>
      <c r="G690" s="18" t="n"/>
      <c r="H690" s="18" t="n"/>
      <c r="I690" s="18" t="n"/>
      <c r="J690" s="37" t="n"/>
      <c r="K690" s="37" t="n"/>
      <c r="L690" s="43">
        <f>IF(C690="","",SUMIFS($J$7:J690,$C$7:C690,C690)-SUMIFS($K$7:K690,$C$7:C690,C690))</f>
        <v/>
      </c>
      <c r="N690">
        <f>IF(AND(C690&lt;&gt;"",C690='Tenant Statement'!$C$6),COUNTIF($C$7:C690,'Tenant Statement'!$C$6),"")</f>
        <v/>
      </c>
    </row>
    <row r="691">
      <c r="B691" s="41" t="n"/>
      <c r="C691" s="18" t="n"/>
      <c r="D691" s="42">
        <f>IF(C691="","",IFERROR(INDEX(TenantProperty,MATCH(C691,Tenants,0)),""))</f>
        <v/>
      </c>
      <c r="E691" s="42">
        <f>IF(C691="","",IFERROR(INDEX(TenantUnit,MATCH(C691,Tenants,0)),""))</f>
        <v/>
      </c>
      <c r="F691" s="18" t="n"/>
      <c r="G691" s="18" t="n"/>
      <c r="H691" s="18" t="n"/>
      <c r="I691" s="18" t="n"/>
      <c r="J691" s="37" t="n"/>
      <c r="K691" s="37" t="n"/>
      <c r="L691" s="43">
        <f>IF(C691="","",SUMIFS($J$7:J691,$C$7:C691,C691)-SUMIFS($K$7:K691,$C$7:C691,C691))</f>
        <v/>
      </c>
      <c r="N691">
        <f>IF(AND(C691&lt;&gt;"",C691='Tenant Statement'!$C$6),COUNTIF($C$7:C691,'Tenant Statement'!$C$6),"")</f>
        <v/>
      </c>
    </row>
    <row r="692">
      <c r="B692" s="41" t="n"/>
      <c r="C692" s="18" t="n"/>
      <c r="D692" s="42">
        <f>IF(C692="","",IFERROR(INDEX(TenantProperty,MATCH(C692,Tenants,0)),""))</f>
        <v/>
      </c>
      <c r="E692" s="42">
        <f>IF(C692="","",IFERROR(INDEX(TenantUnit,MATCH(C692,Tenants,0)),""))</f>
        <v/>
      </c>
      <c r="F692" s="18" t="n"/>
      <c r="G692" s="18" t="n"/>
      <c r="H692" s="18" t="n"/>
      <c r="I692" s="18" t="n"/>
      <c r="J692" s="37" t="n"/>
      <c r="K692" s="37" t="n"/>
      <c r="L692" s="43">
        <f>IF(C692="","",SUMIFS($J$7:J692,$C$7:C692,C692)-SUMIFS($K$7:K692,$C$7:C692,C692))</f>
        <v/>
      </c>
      <c r="N692">
        <f>IF(AND(C692&lt;&gt;"",C692='Tenant Statement'!$C$6),COUNTIF($C$7:C692,'Tenant Statement'!$C$6),"")</f>
        <v/>
      </c>
    </row>
    <row r="693">
      <c r="B693" s="41" t="n"/>
      <c r="C693" s="18" t="n"/>
      <c r="D693" s="42">
        <f>IF(C693="","",IFERROR(INDEX(TenantProperty,MATCH(C693,Tenants,0)),""))</f>
        <v/>
      </c>
      <c r="E693" s="42">
        <f>IF(C693="","",IFERROR(INDEX(TenantUnit,MATCH(C693,Tenants,0)),""))</f>
        <v/>
      </c>
      <c r="F693" s="18" t="n"/>
      <c r="G693" s="18" t="n"/>
      <c r="H693" s="18" t="n"/>
      <c r="I693" s="18" t="n"/>
      <c r="J693" s="37" t="n"/>
      <c r="K693" s="37" t="n"/>
      <c r="L693" s="43">
        <f>IF(C693="","",SUMIFS($J$7:J693,$C$7:C693,C693)-SUMIFS($K$7:K693,$C$7:C693,C693))</f>
        <v/>
      </c>
      <c r="N693">
        <f>IF(AND(C693&lt;&gt;"",C693='Tenant Statement'!$C$6),COUNTIF($C$7:C693,'Tenant Statement'!$C$6),"")</f>
        <v/>
      </c>
    </row>
    <row r="694">
      <c r="B694" s="41" t="n"/>
      <c r="C694" s="18" t="n"/>
      <c r="D694" s="42">
        <f>IF(C694="","",IFERROR(INDEX(TenantProperty,MATCH(C694,Tenants,0)),""))</f>
        <v/>
      </c>
      <c r="E694" s="42">
        <f>IF(C694="","",IFERROR(INDEX(TenantUnit,MATCH(C694,Tenants,0)),""))</f>
        <v/>
      </c>
      <c r="F694" s="18" t="n"/>
      <c r="G694" s="18" t="n"/>
      <c r="H694" s="18" t="n"/>
      <c r="I694" s="18" t="n"/>
      <c r="J694" s="37" t="n"/>
      <c r="K694" s="37" t="n"/>
      <c r="L694" s="43">
        <f>IF(C694="","",SUMIFS($J$7:J694,$C$7:C694,C694)-SUMIFS($K$7:K694,$C$7:C694,C694))</f>
        <v/>
      </c>
      <c r="N694">
        <f>IF(AND(C694&lt;&gt;"",C694='Tenant Statement'!$C$6),COUNTIF($C$7:C694,'Tenant Statement'!$C$6),"")</f>
        <v/>
      </c>
    </row>
    <row r="695">
      <c r="B695" s="41" t="n"/>
      <c r="C695" s="18" t="n"/>
      <c r="D695" s="42">
        <f>IF(C695="","",IFERROR(INDEX(TenantProperty,MATCH(C695,Tenants,0)),""))</f>
        <v/>
      </c>
      <c r="E695" s="42">
        <f>IF(C695="","",IFERROR(INDEX(TenantUnit,MATCH(C695,Tenants,0)),""))</f>
        <v/>
      </c>
      <c r="F695" s="18" t="n"/>
      <c r="G695" s="18" t="n"/>
      <c r="H695" s="18" t="n"/>
      <c r="I695" s="18" t="n"/>
      <c r="J695" s="37" t="n"/>
      <c r="K695" s="37" t="n"/>
      <c r="L695" s="43">
        <f>IF(C695="","",SUMIFS($J$7:J695,$C$7:C695,C695)-SUMIFS($K$7:K695,$C$7:C695,C695))</f>
        <v/>
      </c>
      <c r="N695">
        <f>IF(AND(C695&lt;&gt;"",C695='Tenant Statement'!$C$6),COUNTIF($C$7:C695,'Tenant Statement'!$C$6),"")</f>
        <v/>
      </c>
    </row>
    <row r="696">
      <c r="B696" s="41" t="n"/>
      <c r="C696" s="18" t="n"/>
      <c r="D696" s="42">
        <f>IF(C696="","",IFERROR(INDEX(TenantProperty,MATCH(C696,Tenants,0)),""))</f>
        <v/>
      </c>
      <c r="E696" s="42">
        <f>IF(C696="","",IFERROR(INDEX(TenantUnit,MATCH(C696,Tenants,0)),""))</f>
        <v/>
      </c>
      <c r="F696" s="18" t="n"/>
      <c r="G696" s="18" t="n"/>
      <c r="H696" s="18" t="n"/>
      <c r="I696" s="18" t="n"/>
      <c r="J696" s="37" t="n"/>
      <c r="K696" s="37" t="n"/>
      <c r="L696" s="43">
        <f>IF(C696="","",SUMIFS($J$7:J696,$C$7:C696,C696)-SUMIFS($K$7:K696,$C$7:C696,C696))</f>
        <v/>
      </c>
      <c r="N696">
        <f>IF(AND(C696&lt;&gt;"",C696='Tenant Statement'!$C$6),COUNTIF($C$7:C696,'Tenant Statement'!$C$6),"")</f>
        <v/>
      </c>
    </row>
    <row r="697">
      <c r="B697" s="41" t="n"/>
      <c r="C697" s="18" t="n"/>
      <c r="D697" s="42">
        <f>IF(C697="","",IFERROR(INDEX(TenantProperty,MATCH(C697,Tenants,0)),""))</f>
        <v/>
      </c>
      <c r="E697" s="42">
        <f>IF(C697="","",IFERROR(INDEX(TenantUnit,MATCH(C697,Tenants,0)),""))</f>
        <v/>
      </c>
      <c r="F697" s="18" t="n"/>
      <c r="G697" s="18" t="n"/>
      <c r="H697" s="18" t="n"/>
      <c r="I697" s="18" t="n"/>
      <c r="J697" s="37" t="n"/>
      <c r="K697" s="37" t="n"/>
      <c r="L697" s="43">
        <f>IF(C697="","",SUMIFS($J$7:J697,$C$7:C697,C697)-SUMIFS($K$7:K697,$C$7:C697,C697))</f>
        <v/>
      </c>
      <c r="N697">
        <f>IF(AND(C697&lt;&gt;"",C697='Tenant Statement'!$C$6),COUNTIF($C$7:C697,'Tenant Statement'!$C$6),"")</f>
        <v/>
      </c>
    </row>
    <row r="698">
      <c r="B698" s="41" t="n"/>
      <c r="C698" s="18" t="n"/>
      <c r="D698" s="42">
        <f>IF(C698="","",IFERROR(INDEX(TenantProperty,MATCH(C698,Tenants,0)),""))</f>
        <v/>
      </c>
      <c r="E698" s="42">
        <f>IF(C698="","",IFERROR(INDEX(TenantUnit,MATCH(C698,Tenants,0)),""))</f>
        <v/>
      </c>
      <c r="F698" s="18" t="n"/>
      <c r="G698" s="18" t="n"/>
      <c r="H698" s="18" t="n"/>
      <c r="I698" s="18" t="n"/>
      <c r="J698" s="37" t="n"/>
      <c r="K698" s="37" t="n"/>
      <c r="L698" s="43">
        <f>IF(C698="","",SUMIFS($J$7:J698,$C$7:C698,C698)-SUMIFS($K$7:K698,$C$7:C698,C698))</f>
        <v/>
      </c>
      <c r="N698">
        <f>IF(AND(C698&lt;&gt;"",C698='Tenant Statement'!$C$6),COUNTIF($C$7:C698,'Tenant Statement'!$C$6),"")</f>
        <v/>
      </c>
    </row>
    <row r="699">
      <c r="B699" s="41" t="n"/>
      <c r="C699" s="18" t="n"/>
      <c r="D699" s="42">
        <f>IF(C699="","",IFERROR(INDEX(TenantProperty,MATCH(C699,Tenants,0)),""))</f>
        <v/>
      </c>
      <c r="E699" s="42">
        <f>IF(C699="","",IFERROR(INDEX(TenantUnit,MATCH(C699,Tenants,0)),""))</f>
        <v/>
      </c>
      <c r="F699" s="18" t="n"/>
      <c r="G699" s="18" t="n"/>
      <c r="H699" s="18" t="n"/>
      <c r="I699" s="18" t="n"/>
      <c r="J699" s="37" t="n"/>
      <c r="K699" s="37" t="n"/>
      <c r="L699" s="43">
        <f>IF(C699="","",SUMIFS($J$7:J699,$C$7:C699,C699)-SUMIFS($K$7:K699,$C$7:C699,C699))</f>
        <v/>
      </c>
      <c r="N699">
        <f>IF(AND(C699&lt;&gt;"",C699='Tenant Statement'!$C$6),COUNTIF($C$7:C699,'Tenant Statement'!$C$6),"")</f>
        <v/>
      </c>
    </row>
    <row r="700">
      <c r="B700" s="41" t="n"/>
      <c r="C700" s="18" t="n"/>
      <c r="D700" s="42">
        <f>IF(C700="","",IFERROR(INDEX(TenantProperty,MATCH(C700,Tenants,0)),""))</f>
        <v/>
      </c>
      <c r="E700" s="42">
        <f>IF(C700="","",IFERROR(INDEX(TenantUnit,MATCH(C700,Tenants,0)),""))</f>
        <v/>
      </c>
      <c r="F700" s="18" t="n"/>
      <c r="G700" s="18" t="n"/>
      <c r="H700" s="18" t="n"/>
      <c r="I700" s="18" t="n"/>
      <c r="J700" s="37" t="n"/>
      <c r="K700" s="37" t="n"/>
      <c r="L700" s="43">
        <f>IF(C700="","",SUMIFS($J$7:J700,$C$7:C700,C700)-SUMIFS($K$7:K700,$C$7:C700,C700))</f>
        <v/>
      </c>
      <c r="N700">
        <f>IF(AND(C700&lt;&gt;"",C700='Tenant Statement'!$C$6),COUNTIF($C$7:C700,'Tenant Statement'!$C$6),"")</f>
        <v/>
      </c>
    </row>
    <row r="701">
      <c r="B701" s="41" t="n"/>
      <c r="C701" s="18" t="n"/>
      <c r="D701" s="42">
        <f>IF(C701="","",IFERROR(INDEX(TenantProperty,MATCH(C701,Tenants,0)),""))</f>
        <v/>
      </c>
      <c r="E701" s="42">
        <f>IF(C701="","",IFERROR(INDEX(TenantUnit,MATCH(C701,Tenants,0)),""))</f>
        <v/>
      </c>
      <c r="F701" s="18" t="n"/>
      <c r="G701" s="18" t="n"/>
      <c r="H701" s="18" t="n"/>
      <c r="I701" s="18" t="n"/>
      <c r="J701" s="37" t="n"/>
      <c r="K701" s="37" t="n"/>
      <c r="L701" s="43">
        <f>IF(C701="","",SUMIFS($J$7:J701,$C$7:C701,C701)-SUMIFS($K$7:K701,$C$7:C701,C701))</f>
        <v/>
      </c>
      <c r="N701">
        <f>IF(AND(C701&lt;&gt;"",C701='Tenant Statement'!$C$6),COUNTIF($C$7:C701,'Tenant Statement'!$C$6),"")</f>
        <v/>
      </c>
    </row>
    <row r="702">
      <c r="B702" s="41" t="n"/>
      <c r="C702" s="18" t="n"/>
      <c r="D702" s="42">
        <f>IF(C702="","",IFERROR(INDEX(TenantProperty,MATCH(C702,Tenants,0)),""))</f>
        <v/>
      </c>
      <c r="E702" s="42">
        <f>IF(C702="","",IFERROR(INDEX(TenantUnit,MATCH(C702,Tenants,0)),""))</f>
        <v/>
      </c>
      <c r="F702" s="18" t="n"/>
      <c r="G702" s="18" t="n"/>
      <c r="H702" s="18" t="n"/>
      <c r="I702" s="18" t="n"/>
      <c r="J702" s="37" t="n"/>
      <c r="K702" s="37" t="n"/>
      <c r="L702" s="43">
        <f>IF(C702="","",SUMIFS($J$7:J702,$C$7:C702,C702)-SUMIFS($K$7:K702,$C$7:C702,C702))</f>
        <v/>
      </c>
      <c r="N702">
        <f>IF(AND(C702&lt;&gt;"",C702='Tenant Statement'!$C$6),COUNTIF($C$7:C702,'Tenant Statement'!$C$6),"")</f>
        <v/>
      </c>
    </row>
    <row r="703">
      <c r="B703" s="41" t="n"/>
      <c r="C703" s="18" t="n"/>
      <c r="D703" s="42">
        <f>IF(C703="","",IFERROR(INDEX(TenantProperty,MATCH(C703,Tenants,0)),""))</f>
        <v/>
      </c>
      <c r="E703" s="42">
        <f>IF(C703="","",IFERROR(INDEX(TenantUnit,MATCH(C703,Tenants,0)),""))</f>
        <v/>
      </c>
      <c r="F703" s="18" t="n"/>
      <c r="G703" s="18" t="n"/>
      <c r="H703" s="18" t="n"/>
      <c r="I703" s="18" t="n"/>
      <c r="J703" s="37" t="n"/>
      <c r="K703" s="37" t="n"/>
      <c r="L703" s="43">
        <f>IF(C703="","",SUMIFS($J$7:J703,$C$7:C703,C703)-SUMIFS($K$7:K703,$C$7:C703,C703))</f>
        <v/>
      </c>
      <c r="N703">
        <f>IF(AND(C703&lt;&gt;"",C703='Tenant Statement'!$C$6),COUNTIF($C$7:C703,'Tenant Statement'!$C$6),"")</f>
        <v/>
      </c>
    </row>
    <row r="704">
      <c r="B704" s="41" t="n"/>
      <c r="C704" s="18" t="n"/>
      <c r="D704" s="42">
        <f>IF(C704="","",IFERROR(INDEX(TenantProperty,MATCH(C704,Tenants,0)),""))</f>
        <v/>
      </c>
      <c r="E704" s="42">
        <f>IF(C704="","",IFERROR(INDEX(TenantUnit,MATCH(C704,Tenants,0)),""))</f>
        <v/>
      </c>
      <c r="F704" s="18" t="n"/>
      <c r="G704" s="18" t="n"/>
      <c r="H704" s="18" t="n"/>
      <c r="I704" s="18" t="n"/>
      <c r="J704" s="37" t="n"/>
      <c r="K704" s="37" t="n"/>
      <c r="L704" s="43">
        <f>IF(C704="","",SUMIFS($J$7:J704,$C$7:C704,C704)-SUMIFS($K$7:K704,$C$7:C704,C704))</f>
        <v/>
      </c>
      <c r="N704">
        <f>IF(AND(C704&lt;&gt;"",C704='Tenant Statement'!$C$6),COUNTIF($C$7:C704,'Tenant Statement'!$C$6),"")</f>
        <v/>
      </c>
    </row>
    <row r="705">
      <c r="B705" s="41" t="n"/>
      <c r="C705" s="18" t="n"/>
      <c r="D705" s="42">
        <f>IF(C705="","",IFERROR(INDEX(TenantProperty,MATCH(C705,Tenants,0)),""))</f>
        <v/>
      </c>
      <c r="E705" s="42">
        <f>IF(C705="","",IFERROR(INDEX(TenantUnit,MATCH(C705,Tenants,0)),""))</f>
        <v/>
      </c>
      <c r="F705" s="18" t="n"/>
      <c r="G705" s="18" t="n"/>
      <c r="H705" s="18" t="n"/>
      <c r="I705" s="18" t="n"/>
      <c r="J705" s="37" t="n"/>
      <c r="K705" s="37" t="n"/>
      <c r="L705" s="43">
        <f>IF(C705="","",SUMIFS($J$7:J705,$C$7:C705,C705)-SUMIFS($K$7:K705,$C$7:C705,C705))</f>
        <v/>
      </c>
      <c r="N705">
        <f>IF(AND(C705&lt;&gt;"",C705='Tenant Statement'!$C$6),COUNTIF($C$7:C705,'Tenant Statement'!$C$6),"")</f>
        <v/>
      </c>
    </row>
    <row r="706">
      <c r="B706" s="41" t="n"/>
      <c r="C706" s="18" t="n"/>
      <c r="D706" s="42">
        <f>IF(C706="","",IFERROR(INDEX(TenantProperty,MATCH(C706,Tenants,0)),""))</f>
        <v/>
      </c>
      <c r="E706" s="42">
        <f>IF(C706="","",IFERROR(INDEX(TenantUnit,MATCH(C706,Tenants,0)),""))</f>
        <v/>
      </c>
      <c r="F706" s="18" t="n"/>
      <c r="G706" s="18" t="n"/>
      <c r="H706" s="18" t="n"/>
      <c r="I706" s="18" t="n"/>
      <c r="J706" s="37" t="n"/>
      <c r="K706" s="37" t="n"/>
      <c r="L706" s="43">
        <f>IF(C706="","",SUMIFS($J$7:J706,$C$7:C706,C706)-SUMIFS($K$7:K706,$C$7:C706,C706))</f>
        <v/>
      </c>
      <c r="N706">
        <f>IF(AND(C706&lt;&gt;"",C706='Tenant Statement'!$C$6),COUNTIF($C$7:C706,'Tenant Statement'!$C$6),"")</f>
        <v/>
      </c>
    </row>
    <row r="707">
      <c r="B707" s="41" t="n"/>
      <c r="C707" s="18" t="n"/>
      <c r="D707" s="42">
        <f>IF(C707="","",IFERROR(INDEX(TenantProperty,MATCH(C707,Tenants,0)),""))</f>
        <v/>
      </c>
      <c r="E707" s="42">
        <f>IF(C707="","",IFERROR(INDEX(TenantUnit,MATCH(C707,Tenants,0)),""))</f>
        <v/>
      </c>
      <c r="F707" s="18" t="n"/>
      <c r="G707" s="18" t="n"/>
      <c r="H707" s="18" t="n"/>
      <c r="I707" s="18" t="n"/>
      <c r="J707" s="37" t="n"/>
      <c r="K707" s="37" t="n"/>
      <c r="L707" s="43">
        <f>IF(C707="","",SUMIFS($J$7:J707,$C$7:C707,C707)-SUMIFS($K$7:K707,$C$7:C707,C707))</f>
        <v/>
      </c>
      <c r="N707">
        <f>IF(AND(C707&lt;&gt;"",C707='Tenant Statement'!$C$6),COUNTIF($C$7:C707,'Tenant Statement'!$C$6),"")</f>
        <v/>
      </c>
    </row>
    <row r="708">
      <c r="B708" s="41" t="n"/>
      <c r="C708" s="18" t="n"/>
      <c r="D708" s="42">
        <f>IF(C708="","",IFERROR(INDEX(TenantProperty,MATCH(C708,Tenants,0)),""))</f>
        <v/>
      </c>
      <c r="E708" s="42">
        <f>IF(C708="","",IFERROR(INDEX(TenantUnit,MATCH(C708,Tenants,0)),""))</f>
        <v/>
      </c>
      <c r="F708" s="18" t="n"/>
      <c r="G708" s="18" t="n"/>
      <c r="H708" s="18" t="n"/>
      <c r="I708" s="18" t="n"/>
      <c r="J708" s="37" t="n"/>
      <c r="K708" s="37" t="n"/>
      <c r="L708" s="43">
        <f>IF(C708="","",SUMIFS($J$7:J708,$C$7:C708,C708)-SUMIFS($K$7:K708,$C$7:C708,C708))</f>
        <v/>
      </c>
      <c r="N708">
        <f>IF(AND(C708&lt;&gt;"",C708='Tenant Statement'!$C$6),COUNTIF($C$7:C708,'Tenant Statement'!$C$6),"")</f>
        <v/>
      </c>
    </row>
    <row r="709">
      <c r="B709" s="41" t="n"/>
      <c r="C709" s="18" t="n"/>
      <c r="D709" s="42">
        <f>IF(C709="","",IFERROR(INDEX(TenantProperty,MATCH(C709,Tenants,0)),""))</f>
        <v/>
      </c>
      <c r="E709" s="42">
        <f>IF(C709="","",IFERROR(INDEX(TenantUnit,MATCH(C709,Tenants,0)),""))</f>
        <v/>
      </c>
      <c r="F709" s="18" t="n"/>
      <c r="G709" s="18" t="n"/>
      <c r="H709" s="18" t="n"/>
      <c r="I709" s="18" t="n"/>
      <c r="J709" s="37" t="n"/>
      <c r="K709" s="37" t="n"/>
      <c r="L709" s="43">
        <f>IF(C709="","",SUMIFS($J$7:J709,$C$7:C709,C709)-SUMIFS($K$7:K709,$C$7:C709,C709))</f>
        <v/>
      </c>
      <c r="N709">
        <f>IF(AND(C709&lt;&gt;"",C709='Tenant Statement'!$C$6),COUNTIF($C$7:C709,'Tenant Statement'!$C$6),"")</f>
        <v/>
      </c>
    </row>
    <row r="710">
      <c r="B710" s="41" t="n"/>
      <c r="C710" s="18" t="n"/>
      <c r="D710" s="42">
        <f>IF(C710="","",IFERROR(INDEX(TenantProperty,MATCH(C710,Tenants,0)),""))</f>
        <v/>
      </c>
      <c r="E710" s="42">
        <f>IF(C710="","",IFERROR(INDEX(TenantUnit,MATCH(C710,Tenants,0)),""))</f>
        <v/>
      </c>
      <c r="F710" s="18" t="n"/>
      <c r="G710" s="18" t="n"/>
      <c r="H710" s="18" t="n"/>
      <c r="I710" s="18" t="n"/>
      <c r="J710" s="37" t="n"/>
      <c r="K710" s="37" t="n"/>
      <c r="L710" s="43">
        <f>IF(C710="","",SUMIFS($J$7:J710,$C$7:C710,C710)-SUMIFS($K$7:K710,$C$7:C710,C710))</f>
        <v/>
      </c>
      <c r="N710">
        <f>IF(AND(C710&lt;&gt;"",C710='Tenant Statement'!$C$6),COUNTIF($C$7:C710,'Tenant Statement'!$C$6),"")</f>
        <v/>
      </c>
    </row>
    <row r="711">
      <c r="B711" s="41" t="n"/>
      <c r="C711" s="18" t="n"/>
      <c r="D711" s="42">
        <f>IF(C711="","",IFERROR(INDEX(TenantProperty,MATCH(C711,Tenants,0)),""))</f>
        <v/>
      </c>
      <c r="E711" s="42">
        <f>IF(C711="","",IFERROR(INDEX(TenantUnit,MATCH(C711,Tenants,0)),""))</f>
        <v/>
      </c>
      <c r="F711" s="18" t="n"/>
      <c r="G711" s="18" t="n"/>
      <c r="H711" s="18" t="n"/>
      <c r="I711" s="18" t="n"/>
      <c r="J711" s="37" t="n"/>
      <c r="K711" s="37" t="n"/>
      <c r="L711" s="43">
        <f>IF(C711="","",SUMIFS($J$7:J711,$C$7:C711,C711)-SUMIFS($K$7:K711,$C$7:C711,C711))</f>
        <v/>
      </c>
      <c r="N711">
        <f>IF(AND(C711&lt;&gt;"",C711='Tenant Statement'!$C$6),COUNTIF($C$7:C711,'Tenant Statement'!$C$6),"")</f>
        <v/>
      </c>
    </row>
    <row r="712">
      <c r="B712" s="41" t="n"/>
      <c r="C712" s="18" t="n"/>
      <c r="D712" s="42">
        <f>IF(C712="","",IFERROR(INDEX(TenantProperty,MATCH(C712,Tenants,0)),""))</f>
        <v/>
      </c>
      <c r="E712" s="42">
        <f>IF(C712="","",IFERROR(INDEX(TenantUnit,MATCH(C712,Tenants,0)),""))</f>
        <v/>
      </c>
      <c r="F712" s="18" t="n"/>
      <c r="G712" s="18" t="n"/>
      <c r="H712" s="18" t="n"/>
      <c r="I712" s="18" t="n"/>
      <c r="J712" s="37" t="n"/>
      <c r="K712" s="37" t="n"/>
      <c r="L712" s="43">
        <f>IF(C712="","",SUMIFS($J$7:J712,$C$7:C712,C712)-SUMIFS($K$7:K712,$C$7:C712,C712))</f>
        <v/>
      </c>
      <c r="N712">
        <f>IF(AND(C712&lt;&gt;"",C712='Tenant Statement'!$C$6),COUNTIF($C$7:C712,'Tenant Statement'!$C$6),"")</f>
        <v/>
      </c>
    </row>
    <row r="713">
      <c r="B713" s="41" t="n"/>
      <c r="C713" s="18" t="n"/>
      <c r="D713" s="42">
        <f>IF(C713="","",IFERROR(INDEX(TenantProperty,MATCH(C713,Tenants,0)),""))</f>
        <v/>
      </c>
      <c r="E713" s="42">
        <f>IF(C713="","",IFERROR(INDEX(TenantUnit,MATCH(C713,Tenants,0)),""))</f>
        <v/>
      </c>
      <c r="F713" s="18" t="n"/>
      <c r="G713" s="18" t="n"/>
      <c r="H713" s="18" t="n"/>
      <c r="I713" s="18" t="n"/>
      <c r="J713" s="37" t="n"/>
      <c r="K713" s="37" t="n"/>
      <c r="L713" s="43">
        <f>IF(C713="","",SUMIFS($J$7:J713,$C$7:C713,C713)-SUMIFS($K$7:K713,$C$7:C713,C713))</f>
        <v/>
      </c>
      <c r="N713">
        <f>IF(AND(C713&lt;&gt;"",C713='Tenant Statement'!$C$6),COUNTIF($C$7:C713,'Tenant Statement'!$C$6),"")</f>
        <v/>
      </c>
    </row>
    <row r="714">
      <c r="B714" s="41" t="n"/>
      <c r="C714" s="18" t="n"/>
      <c r="D714" s="42">
        <f>IF(C714="","",IFERROR(INDEX(TenantProperty,MATCH(C714,Tenants,0)),""))</f>
        <v/>
      </c>
      <c r="E714" s="42">
        <f>IF(C714="","",IFERROR(INDEX(TenantUnit,MATCH(C714,Tenants,0)),""))</f>
        <v/>
      </c>
      <c r="F714" s="18" t="n"/>
      <c r="G714" s="18" t="n"/>
      <c r="H714" s="18" t="n"/>
      <c r="I714" s="18" t="n"/>
      <c r="J714" s="37" t="n"/>
      <c r="K714" s="37" t="n"/>
      <c r="L714" s="43">
        <f>IF(C714="","",SUMIFS($J$7:J714,$C$7:C714,C714)-SUMIFS($K$7:K714,$C$7:C714,C714))</f>
        <v/>
      </c>
      <c r="N714">
        <f>IF(AND(C714&lt;&gt;"",C714='Tenant Statement'!$C$6),COUNTIF($C$7:C714,'Tenant Statement'!$C$6),"")</f>
        <v/>
      </c>
    </row>
    <row r="715">
      <c r="B715" s="41" t="n"/>
      <c r="C715" s="18" t="n"/>
      <c r="D715" s="42">
        <f>IF(C715="","",IFERROR(INDEX(TenantProperty,MATCH(C715,Tenants,0)),""))</f>
        <v/>
      </c>
      <c r="E715" s="42">
        <f>IF(C715="","",IFERROR(INDEX(TenantUnit,MATCH(C715,Tenants,0)),""))</f>
        <v/>
      </c>
      <c r="F715" s="18" t="n"/>
      <c r="G715" s="18" t="n"/>
      <c r="H715" s="18" t="n"/>
      <c r="I715" s="18" t="n"/>
      <c r="J715" s="37" t="n"/>
      <c r="K715" s="37" t="n"/>
      <c r="L715" s="43">
        <f>IF(C715="","",SUMIFS($J$7:J715,$C$7:C715,C715)-SUMIFS($K$7:K715,$C$7:C715,C715))</f>
        <v/>
      </c>
      <c r="N715">
        <f>IF(AND(C715&lt;&gt;"",C715='Tenant Statement'!$C$6),COUNTIF($C$7:C715,'Tenant Statement'!$C$6),"")</f>
        <v/>
      </c>
    </row>
    <row r="716">
      <c r="B716" s="41" t="n"/>
      <c r="C716" s="18" t="n"/>
      <c r="D716" s="42">
        <f>IF(C716="","",IFERROR(INDEX(TenantProperty,MATCH(C716,Tenants,0)),""))</f>
        <v/>
      </c>
      <c r="E716" s="42">
        <f>IF(C716="","",IFERROR(INDEX(TenantUnit,MATCH(C716,Tenants,0)),""))</f>
        <v/>
      </c>
      <c r="F716" s="18" t="n"/>
      <c r="G716" s="18" t="n"/>
      <c r="H716" s="18" t="n"/>
      <c r="I716" s="18" t="n"/>
      <c r="J716" s="37" t="n"/>
      <c r="K716" s="37" t="n"/>
      <c r="L716" s="43">
        <f>IF(C716="","",SUMIFS($J$7:J716,$C$7:C716,C716)-SUMIFS($K$7:K716,$C$7:C716,C716))</f>
        <v/>
      </c>
      <c r="N716">
        <f>IF(AND(C716&lt;&gt;"",C716='Tenant Statement'!$C$6),COUNTIF($C$7:C716,'Tenant Statement'!$C$6),"")</f>
        <v/>
      </c>
    </row>
    <row r="717">
      <c r="B717" s="41" t="n"/>
      <c r="C717" s="18" t="n"/>
      <c r="D717" s="42">
        <f>IF(C717="","",IFERROR(INDEX(TenantProperty,MATCH(C717,Tenants,0)),""))</f>
        <v/>
      </c>
      <c r="E717" s="42">
        <f>IF(C717="","",IFERROR(INDEX(TenantUnit,MATCH(C717,Tenants,0)),""))</f>
        <v/>
      </c>
      <c r="F717" s="18" t="n"/>
      <c r="G717" s="18" t="n"/>
      <c r="H717" s="18" t="n"/>
      <c r="I717" s="18" t="n"/>
      <c r="J717" s="37" t="n"/>
      <c r="K717" s="37" t="n"/>
      <c r="L717" s="43">
        <f>IF(C717="","",SUMIFS($J$7:J717,$C$7:C717,C717)-SUMIFS($K$7:K717,$C$7:C717,C717))</f>
        <v/>
      </c>
      <c r="N717">
        <f>IF(AND(C717&lt;&gt;"",C717='Tenant Statement'!$C$6),COUNTIF($C$7:C717,'Tenant Statement'!$C$6),"")</f>
        <v/>
      </c>
    </row>
    <row r="718">
      <c r="B718" s="41" t="n"/>
      <c r="C718" s="18" t="n"/>
      <c r="D718" s="42">
        <f>IF(C718="","",IFERROR(INDEX(TenantProperty,MATCH(C718,Tenants,0)),""))</f>
        <v/>
      </c>
      <c r="E718" s="42">
        <f>IF(C718="","",IFERROR(INDEX(TenantUnit,MATCH(C718,Tenants,0)),""))</f>
        <v/>
      </c>
      <c r="F718" s="18" t="n"/>
      <c r="G718" s="18" t="n"/>
      <c r="H718" s="18" t="n"/>
      <c r="I718" s="18" t="n"/>
      <c r="J718" s="37" t="n"/>
      <c r="K718" s="37" t="n"/>
      <c r="L718" s="43">
        <f>IF(C718="","",SUMIFS($J$7:J718,$C$7:C718,C718)-SUMIFS($K$7:K718,$C$7:C718,C718))</f>
        <v/>
      </c>
      <c r="N718">
        <f>IF(AND(C718&lt;&gt;"",C718='Tenant Statement'!$C$6),COUNTIF($C$7:C718,'Tenant Statement'!$C$6),"")</f>
        <v/>
      </c>
    </row>
    <row r="719">
      <c r="B719" s="41" t="n"/>
      <c r="C719" s="18" t="n"/>
      <c r="D719" s="42">
        <f>IF(C719="","",IFERROR(INDEX(TenantProperty,MATCH(C719,Tenants,0)),""))</f>
        <v/>
      </c>
      <c r="E719" s="42">
        <f>IF(C719="","",IFERROR(INDEX(TenantUnit,MATCH(C719,Tenants,0)),""))</f>
        <v/>
      </c>
      <c r="F719" s="18" t="n"/>
      <c r="G719" s="18" t="n"/>
      <c r="H719" s="18" t="n"/>
      <c r="I719" s="18" t="n"/>
      <c r="J719" s="37" t="n"/>
      <c r="K719" s="37" t="n"/>
      <c r="L719" s="43">
        <f>IF(C719="","",SUMIFS($J$7:J719,$C$7:C719,C719)-SUMIFS($K$7:K719,$C$7:C719,C719))</f>
        <v/>
      </c>
      <c r="N719">
        <f>IF(AND(C719&lt;&gt;"",C719='Tenant Statement'!$C$6),COUNTIF($C$7:C719,'Tenant Statement'!$C$6),"")</f>
        <v/>
      </c>
    </row>
    <row r="720">
      <c r="B720" s="41" t="n"/>
      <c r="C720" s="18" t="n"/>
      <c r="D720" s="42">
        <f>IF(C720="","",IFERROR(INDEX(TenantProperty,MATCH(C720,Tenants,0)),""))</f>
        <v/>
      </c>
      <c r="E720" s="42">
        <f>IF(C720="","",IFERROR(INDEX(TenantUnit,MATCH(C720,Tenants,0)),""))</f>
        <v/>
      </c>
      <c r="F720" s="18" t="n"/>
      <c r="G720" s="18" t="n"/>
      <c r="H720" s="18" t="n"/>
      <c r="I720" s="18" t="n"/>
      <c r="J720" s="37" t="n"/>
      <c r="K720" s="37" t="n"/>
      <c r="L720" s="43">
        <f>IF(C720="","",SUMIFS($J$7:J720,$C$7:C720,C720)-SUMIFS($K$7:K720,$C$7:C720,C720))</f>
        <v/>
      </c>
      <c r="N720">
        <f>IF(AND(C720&lt;&gt;"",C720='Tenant Statement'!$C$6),COUNTIF($C$7:C720,'Tenant Statement'!$C$6),"")</f>
        <v/>
      </c>
    </row>
    <row r="721">
      <c r="B721" s="41" t="n"/>
      <c r="C721" s="18" t="n"/>
      <c r="D721" s="42">
        <f>IF(C721="","",IFERROR(INDEX(TenantProperty,MATCH(C721,Tenants,0)),""))</f>
        <v/>
      </c>
      <c r="E721" s="42">
        <f>IF(C721="","",IFERROR(INDEX(TenantUnit,MATCH(C721,Tenants,0)),""))</f>
        <v/>
      </c>
      <c r="F721" s="18" t="n"/>
      <c r="G721" s="18" t="n"/>
      <c r="H721" s="18" t="n"/>
      <c r="I721" s="18" t="n"/>
      <c r="J721" s="37" t="n"/>
      <c r="K721" s="37" t="n"/>
      <c r="L721" s="43">
        <f>IF(C721="","",SUMIFS($J$7:J721,$C$7:C721,C721)-SUMIFS($K$7:K721,$C$7:C721,C721))</f>
        <v/>
      </c>
      <c r="N721">
        <f>IF(AND(C721&lt;&gt;"",C721='Tenant Statement'!$C$6),COUNTIF($C$7:C721,'Tenant Statement'!$C$6),"")</f>
        <v/>
      </c>
    </row>
    <row r="722">
      <c r="B722" s="41" t="n"/>
      <c r="C722" s="18" t="n"/>
      <c r="D722" s="42">
        <f>IF(C722="","",IFERROR(INDEX(TenantProperty,MATCH(C722,Tenants,0)),""))</f>
        <v/>
      </c>
      <c r="E722" s="42">
        <f>IF(C722="","",IFERROR(INDEX(TenantUnit,MATCH(C722,Tenants,0)),""))</f>
        <v/>
      </c>
      <c r="F722" s="18" t="n"/>
      <c r="G722" s="18" t="n"/>
      <c r="H722" s="18" t="n"/>
      <c r="I722" s="18" t="n"/>
      <c r="J722" s="37" t="n"/>
      <c r="K722" s="37" t="n"/>
      <c r="L722" s="43">
        <f>IF(C722="","",SUMIFS($J$7:J722,$C$7:C722,C722)-SUMIFS($K$7:K722,$C$7:C722,C722))</f>
        <v/>
      </c>
      <c r="N722">
        <f>IF(AND(C722&lt;&gt;"",C722='Tenant Statement'!$C$6),COUNTIF($C$7:C722,'Tenant Statement'!$C$6),"")</f>
        <v/>
      </c>
    </row>
    <row r="723">
      <c r="B723" s="41" t="n"/>
      <c r="C723" s="18" t="n"/>
      <c r="D723" s="42">
        <f>IF(C723="","",IFERROR(INDEX(TenantProperty,MATCH(C723,Tenants,0)),""))</f>
        <v/>
      </c>
      <c r="E723" s="42">
        <f>IF(C723="","",IFERROR(INDEX(TenantUnit,MATCH(C723,Tenants,0)),""))</f>
        <v/>
      </c>
      <c r="F723" s="18" t="n"/>
      <c r="G723" s="18" t="n"/>
      <c r="H723" s="18" t="n"/>
      <c r="I723" s="18" t="n"/>
      <c r="J723" s="37" t="n"/>
      <c r="K723" s="37" t="n"/>
      <c r="L723" s="43">
        <f>IF(C723="","",SUMIFS($J$7:J723,$C$7:C723,C723)-SUMIFS($K$7:K723,$C$7:C723,C723))</f>
        <v/>
      </c>
      <c r="N723">
        <f>IF(AND(C723&lt;&gt;"",C723='Tenant Statement'!$C$6),COUNTIF($C$7:C723,'Tenant Statement'!$C$6),"")</f>
        <v/>
      </c>
    </row>
    <row r="724">
      <c r="B724" s="41" t="n"/>
      <c r="C724" s="18" t="n"/>
      <c r="D724" s="42">
        <f>IF(C724="","",IFERROR(INDEX(TenantProperty,MATCH(C724,Tenants,0)),""))</f>
        <v/>
      </c>
      <c r="E724" s="42">
        <f>IF(C724="","",IFERROR(INDEX(TenantUnit,MATCH(C724,Tenants,0)),""))</f>
        <v/>
      </c>
      <c r="F724" s="18" t="n"/>
      <c r="G724" s="18" t="n"/>
      <c r="H724" s="18" t="n"/>
      <c r="I724" s="18" t="n"/>
      <c r="J724" s="37" t="n"/>
      <c r="K724" s="37" t="n"/>
      <c r="L724" s="43">
        <f>IF(C724="","",SUMIFS($J$7:J724,$C$7:C724,C724)-SUMIFS($K$7:K724,$C$7:C724,C724))</f>
        <v/>
      </c>
      <c r="N724">
        <f>IF(AND(C724&lt;&gt;"",C724='Tenant Statement'!$C$6),COUNTIF($C$7:C724,'Tenant Statement'!$C$6),"")</f>
        <v/>
      </c>
    </row>
    <row r="725">
      <c r="B725" s="41" t="n"/>
      <c r="C725" s="18" t="n"/>
      <c r="D725" s="42">
        <f>IF(C725="","",IFERROR(INDEX(TenantProperty,MATCH(C725,Tenants,0)),""))</f>
        <v/>
      </c>
      <c r="E725" s="42">
        <f>IF(C725="","",IFERROR(INDEX(TenantUnit,MATCH(C725,Tenants,0)),""))</f>
        <v/>
      </c>
      <c r="F725" s="18" t="n"/>
      <c r="G725" s="18" t="n"/>
      <c r="H725" s="18" t="n"/>
      <c r="I725" s="18" t="n"/>
      <c r="J725" s="37" t="n"/>
      <c r="K725" s="37" t="n"/>
      <c r="L725" s="43">
        <f>IF(C725="","",SUMIFS($J$7:J725,$C$7:C725,C725)-SUMIFS($K$7:K725,$C$7:C725,C725))</f>
        <v/>
      </c>
      <c r="N725">
        <f>IF(AND(C725&lt;&gt;"",C725='Tenant Statement'!$C$6),COUNTIF($C$7:C725,'Tenant Statement'!$C$6),"")</f>
        <v/>
      </c>
    </row>
    <row r="726">
      <c r="B726" s="41" t="n"/>
      <c r="C726" s="18" t="n"/>
      <c r="D726" s="42">
        <f>IF(C726="","",IFERROR(INDEX(TenantProperty,MATCH(C726,Tenants,0)),""))</f>
        <v/>
      </c>
      <c r="E726" s="42">
        <f>IF(C726="","",IFERROR(INDEX(TenantUnit,MATCH(C726,Tenants,0)),""))</f>
        <v/>
      </c>
      <c r="F726" s="18" t="n"/>
      <c r="G726" s="18" t="n"/>
      <c r="H726" s="18" t="n"/>
      <c r="I726" s="18" t="n"/>
      <c r="J726" s="37" t="n"/>
      <c r="K726" s="37" t="n"/>
      <c r="L726" s="43">
        <f>IF(C726="","",SUMIFS($J$7:J726,$C$7:C726,C726)-SUMIFS($K$7:K726,$C$7:C726,C726))</f>
        <v/>
      </c>
      <c r="N726">
        <f>IF(AND(C726&lt;&gt;"",C726='Tenant Statement'!$C$6),COUNTIF($C$7:C726,'Tenant Statement'!$C$6),"")</f>
        <v/>
      </c>
    </row>
    <row r="727">
      <c r="B727" s="41" t="n"/>
      <c r="C727" s="18" t="n"/>
      <c r="D727" s="42">
        <f>IF(C727="","",IFERROR(INDEX(TenantProperty,MATCH(C727,Tenants,0)),""))</f>
        <v/>
      </c>
      <c r="E727" s="42">
        <f>IF(C727="","",IFERROR(INDEX(TenantUnit,MATCH(C727,Tenants,0)),""))</f>
        <v/>
      </c>
      <c r="F727" s="18" t="n"/>
      <c r="G727" s="18" t="n"/>
      <c r="H727" s="18" t="n"/>
      <c r="I727" s="18" t="n"/>
      <c r="J727" s="37" t="n"/>
      <c r="K727" s="37" t="n"/>
      <c r="L727" s="43">
        <f>IF(C727="","",SUMIFS($J$7:J727,$C$7:C727,C727)-SUMIFS($K$7:K727,$C$7:C727,C727))</f>
        <v/>
      </c>
      <c r="N727">
        <f>IF(AND(C727&lt;&gt;"",C727='Tenant Statement'!$C$6),COUNTIF($C$7:C727,'Tenant Statement'!$C$6),"")</f>
        <v/>
      </c>
    </row>
    <row r="728">
      <c r="B728" s="41" t="n"/>
      <c r="C728" s="18" t="n"/>
      <c r="D728" s="42">
        <f>IF(C728="","",IFERROR(INDEX(TenantProperty,MATCH(C728,Tenants,0)),""))</f>
        <v/>
      </c>
      <c r="E728" s="42">
        <f>IF(C728="","",IFERROR(INDEX(TenantUnit,MATCH(C728,Tenants,0)),""))</f>
        <v/>
      </c>
      <c r="F728" s="18" t="n"/>
      <c r="G728" s="18" t="n"/>
      <c r="H728" s="18" t="n"/>
      <c r="I728" s="18" t="n"/>
      <c r="J728" s="37" t="n"/>
      <c r="K728" s="37" t="n"/>
      <c r="L728" s="43">
        <f>IF(C728="","",SUMIFS($J$7:J728,$C$7:C728,C728)-SUMIFS($K$7:K728,$C$7:C728,C728))</f>
        <v/>
      </c>
      <c r="N728">
        <f>IF(AND(C728&lt;&gt;"",C728='Tenant Statement'!$C$6),COUNTIF($C$7:C728,'Tenant Statement'!$C$6),"")</f>
        <v/>
      </c>
    </row>
    <row r="729">
      <c r="B729" s="41" t="n"/>
      <c r="C729" s="18" t="n"/>
      <c r="D729" s="42">
        <f>IF(C729="","",IFERROR(INDEX(TenantProperty,MATCH(C729,Tenants,0)),""))</f>
        <v/>
      </c>
      <c r="E729" s="42">
        <f>IF(C729="","",IFERROR(INDEX(TenantUnit,MATCH(C729,Tenants,0)),""))</f>
        <v/>
      </c>
      <c r="F729" s="18" t="n"/>
      <c r="G729" s="18" t="n"/>
      <c r="H729" s="18" t="n"/>
      <c r="I729" s="18" t="n"/>
      <c r="J729" s="37" t="n"/>
      <c r="K729" s="37" t="n"/>
      <c r="L729" s="43">
        <f>IF(C729="","",SUMIFS($J$7:J729,$C$7:C729,C729)-SUMIFS($K$7:K729,$C$7:C729,C729))</f>
        <v/>
      </c>
      <c r="N729">
        <f>IF(AND(C729&lt;&gt;"",C729='Tenant Statement'!$C$6),COUNTIF($C$7:C729,'Tenant Statement'!$C$6),"")</f>
        <v/>
      </c>
    </row>
    <row r="730">
      <c r="B730" s="41" t="n"/>
      <c r="C730" s="18" t="n"/>
      <c r="D730" s="42">
        <f>IF(C730="","",IFERROR(INDEX(TenantProperty,MATCH(C730,Tenants,0)),""))</f>
        <v/>
      </c>
      <c r="E730" s="42">
        <f>IF(C730="","",IFERROR(INDEX(TenantUnit,MATCH(C730,Tenants,0)),""))</f>
        <v/>
      </c>
      <c r="F730" s="18" t="n"/>
      <c r="G730" s="18" t="n"/>
      <c r="H730" s="18" t="n"/>
      <c r="I730" s="18" t="n"/>
      <c r="J730" s="37" t="n"/>
      <c r="K730" s="37" t="n"/>
      <c r="L730" s="43">
        <f>IF(C730="","",SUMIFS($J$7:J730,$C$7:C730,C730)-SUMIFS($K$7:K730,$C$7:C730,C730))</f>
        <v/>
      </c>
      <c r="N730">
        <f>IF(AND(C730&lt;&gt;"",C730='Tenant Statement'!$C$6),COUNTIF($C$7:C730,'Tenant Statement'!$C$6),"")</f>
        <v/>
      </c>
    </row>
    <row r="731">
      <c r="B731" s="41" t="n"/>
      <c r="C731" s="18" t="n"/>
      <c r="D731" s="42">
        <f>IF(C731="","",IFERROR(INDEX(TenantProperty,MATCH(C731,Tenants,0)),""))</f>
        <v/>
      </c>
      <c r="E731" s="42">
        <f>IF(C731="","",IFERROR(INDEX(TenantUnit,MATCH(C731,Tenants,0)),""))</f>
        <v/>
      </c>
      <c r="F731" s="18" t="n"/>
      <c r="G731" s="18" t="n"/>
      <c r="H731" s="18" t="n"/>
      <c r="I731" s="18" t="n"/>
      <c r="J731" s="37" t="n"/>
      <c r="K731" s="37" t="n"/>
      <c r="L731" s="43">
        <f>IF(C731="","",SUMIFS($J$7:J731,$C$7:C731,C731)-SUMIFS($K$7:K731,$C$7:C731,C731))</f>
        <v/>
      </c>
      <c r="N731">
        <f>IF(AND(C731&lt;&gt;"",C731='Tenant Statement'!$C$6),COUNTIF($C$7:C731,'Tenant Statement'!$C$6),"")</f>
        <v/>
      </c>
    </row>
    <row r="732">
      <c r="B732" s="41" t="n"/>
      <c r="C732" s="18" t="n"/>
      <c r="D732" s="42">
        <f>IF(C732="","",IFERROR(INDEX(TenantProperty,MATCH(C732,Tenants,0)),""))</f>
        <v/>
      </c>
      <c r="E732" s="42">
        <f>IF(C732="","",IFERROR(INDEX(TenantUnit,MATCH(C732,Tenants,0)),""))</f>
        <v/>
      </c>
      <c r="F732" s="18" t="n"/>
      <c r="G732" s="18" t="n"/>
      <c r="H732" s="18" t="n"/>
      <c r="I732" s="18" t="n"/>
      <c r="J732" s="37" t="n"/>
      <c r="K732" s="37" t="n"/>
      <c r="L732" s="43">
        <f>IF(C732="","",SUMIFS($J$7:J732,$C$7:C732,C732)-SUMIFS($K$7:K732,$C$7:C732,C732))</f>
        <v/>
      </c>
      <c r="N732">
        <f>IF(AND(C732&lt;&gt;"",C732='Tenant Statement'!$C$6),COUNTIF($C$7:C732,'Tenant Statement'!$C$6),"")</f>
        <v/>
      </c>
    </row>
    <row r="733">
      <c r="B733" s="41" t="n"/>
      <c r="C733" s="18" t="n"/>
      <c r="D733" s="42">
        <f>IF(C733="","",IFERROR(INDEX(TenantProperty,MATCH(C733,Tenants,0)),""))</f>
        <v/>
      </c>
      <c r="E733" s="42">
        <f>IF(C733="","",IFERROR(INDEX(TenantUnit,MATCH(C733,Tenants,0)),""))</f>
        <v/>
      </c>
      <c r="F733" s="18" t="n"/>
      <c r="G733" s="18" t="n"/>
      <c r="H733" s="18" t="n"/>
      <c r="I733" s="18" t="n"/>
      <c r="J733" s="37" t="n"/>
      <c r="K733" s="37" t="n"/>
      <c r="L733" s="43">
        <f>IF(C733="","",SUMIFS($J$7:J733,$C$7:C733,C733)-SUMIFS($K$7:K733,$C$7:C733,C733))</f>
        <v/>
      </c>
      <c r="N733">
        <f>IF(AND(C733&lt;&gt;"",C733='Tenant Statement'!$C$6),COUNTIF($C$7:C733,'Tenant Statement'!$C$6),"")</f>
        <v/>
      </c>
    </row>
    <row r="734">
      <c r="B734" s="41" t="n"/>
      <c r="C734" s="18" t="n"/>
      <c r="D734" s="42">
        <f>IF(C734="","",IFERROR(INDEX(TenantProperty,MATCH(C734,Tenants,0)),""))</f>
        <v/>
      </c>
      <c r="E734" s="42">
        <f>IF(C734="","",IFERROR(INDEX(TenantUnit,MATCH(C734,Tenants,0)),""))</f>
        <v/>
      </c>
      <c r="F734" s="18" t="n"/>
      <c r="G734" s="18" t="n"/>
      <c r="H734" s="18" t="n"/>
      <c r="I734" s="18" t="n"/>
      <c r="J734" s="37" t="n"/>
      <c r="K734" s="37" t="n"/>
      <c r="L734" s="43">
        <f>IF(C734="","",SUMIFS($J$7:J734,$C$7:C734,C734)-SUMIFS($K$7:K734,$C$7:C734,C734))</f>
        <v/>
      </c>
      <c r="N734">
        <f>IF(AND(C734&lt;&gt;"",C734='Tenant Statement'!$C$6),COUNTIF($C$7:C734,'Tenant Statement'!$C$6),"")</f>
        <v/>
      </c>
    </row>
    <row r="735">
      <c r="B735" s="41" t="n"/>
      <c r="C735" s="18" t="n"/>
      <c r="D735" s="42">
        <f>IF(C735="","",IFERROR(INDEX(TenantProperty,MATCH(C735,Tenants,0)),""))</f>
        <v/>
      </c>
      <c r="E735" s="42">
        <f>IF(C735="","",IFERROR(INDEX(TenantUnit,MATCH(C735,Tenants,0)),""))</f>
        <v/>
      </c>
      <c r="F735" s="18" t="n"/>
      <c r="G735" s="18" t="n"/>
      <c r="H735" s="18" t="n"/>
      <c r="I735" s="18" t="n"/>
      <c r="J735" s="37" t="n"/>
      <c r="K735" s="37" t="n"/>
      <c r="L735" s="43">
        <f>IF(C735="","",SUMIFS($J$7:J735,$C$7:C735,C735)-SUMIFS($K$7:K735,$C$7:C735,C735))</f>
        <v/>
      </c>
      <c r="N735">
        <f>IF(AND(C735&lt;&gt;"",C735='Tenant Statement'!$C$6),COUNTIF($C$7:C735,'Tenant Statement'!$C$6),"")</f>
        <v/>
      </c>
    </row>
    <row r="736">
      <c r="B736" s="41" t="n"/>
      <c r="C736" s="18" t="n"/>
      <c r="D736" s="42">
        <f>IF(C736="","",IFERROR(INDEX(TenantProperty,MATCH(C736,Tenants,0)),""))</f>
        <v/>
      </c>
      <c r="E736" s="42">
        <f>IF(C736="","",IFERROR(INDEX(TenantUnit,MATCH(C736,Tenants,0)),""))</f>
        <v/>
      </c>
      <c r="F736" s="18" t="n"/>
      <c r="G736" s="18" t="n"/>
      <c r="H736" s="18" t="n"/>
      <c r="I736" s="18" t="n"/>
      <c r="J736" s="37" t="n"/>
      <c r="K736" s="37" t="n"/>
      <c r="L736" s="43">
        <f>IF(C736="","",SUMIFS($J$7:J736,$C$7:C736,C736)-SUMIFS($K$7:K736,$C$7:C736,C736))</f>
        <v/>
      </c>
      <c r="N736">
        <f>IF(AND(C736&lt;&gt;"",C736='Tenant Statement'!$C$6),COUNTIF($C$7:C736,'Tenant Statement'!$C$6),"")</f>
        <v/>
      </c>
    </row>
    <row r="737">
      <c r="B737" s="41" t="n"/>
      <c r="C737" s="18" t="n"/>
      <c r="D737" s="42">
        <f>IF(C737="","",IFERROR(INDEX(TenantProperty,MATCH(C737,Tenants,0)),""))</f>
        <v/>
      </c>
      <c r="E737" s="42">
        <f>IF(C737="","",IFERROR(INDEX(TenantUnit,MATCH(C737,Tenants,0)),""))</f>
        <v/>
      </c>
      <c r="F737" s="18" t="n"/>
      <c r="G737" s="18" t="n"/>
      <c r="H737" s="18" t="n"/>
      <c r="I737" s="18" t="n"/>
      <c r="J737" s="37" t="n"/>
      <c r="K737" s="37" t="n"/>
      <c r="L737" s="43">
        <f>IF(C737="","",SUMIFS($J$7:J737,$C$7:C737,C737)-SUMIFS($K$7:K737,$C$7:C737,C737))</f>
        <v/>
      </c>
      <c r="N737">
        <f>IF(AND(C737&lt;&gt;"",C737='Tenant Statement'!$C$6),COUNTIF($C$7:C737,'Tenant Statement'!$C$6),"")</f>
        <v/>
      </c>
    </row>
    <row r="738">
      <c r="B738" s="41" t="n"/>
      <c r="C738" s="18" t="n"/>
      <c r="D738" s="42">
        <f>IF(C738="","",IFERROR(INDEX(TenantProperty,MATCH(C738,Tenants,0)),""))</f>
        <v/>
      </c>
      <c r="E738" s="42">
        <f>IF(C738="","",IFERROR(INDEX(TenantUnit,MATCH(C738,Tenants,0)),""))</f>
        <v/>
      </c>
      <c r="F738" s="18" t="n"/>
      <c r="G738" s="18" t="n"/>
      <c r="H738" s="18" t="n"/>
      <c r="I738" s="18" t="n"/>
      <c r="J738" s="37" t="n"/>
      <c r="K738" s="37" t="n"/>
      <c r="L738" s="43">
        <f>IF(C738="","",SUMIFS($J$7:J738,$C$7:C738,C738)-SUMIFS($K$7:K738,$C$7:C738,C738))</f>
        <v/>
      </c>
      <c r="N738">
        <f>IF(AND(C738&lt;&gt;"",C738='Tenant Statement'!$C$6),COUNTIF($C$7:C738,'Tenant Statement'!$C$6),"")</f>
        <v/>
      </c>
    </row>
    <row r="739">
      <c r="B739" s="41" t="n"/>
      <c r="C739" s="18" t="n"/>
      <c r="D739" s="42">
        <f>IF(C739="","",IFERROR(INDEX(TenantProperty,MATCH(C739,Tenants,0)),""))</f>
        <v/>
      </c>
      <c r="E739" s="42">
        <f>IF(C739="","",IFERROR(INDEX(TenantUnit,MATCH(C739,Tenants,0)),""))</f>
        <v/>
      </c>
      <c r="F739" s="18" t="n"/>
      <c r="G739" s="18" t="n"/>
      <c r="H739" s="18" t="n"/>
      <c r="I739" s="18" t="n"/>
      <c r="J739" s="37" t="n"/>
      <c r="K739" s="37" t="n"/>
      <c r="L739" s="43">
        <f>IF(C739="","",SUMIFS($J$7:J739,$C$7:C739,C739)-SUMIFS($K$7:K739,$C$7:C739,C739))</f>
        <v/>
      </c>
      <c r="N739">
        <f>IF(AND(C739&lt;&gt;"",C739='Tenant Statement'!$C$6),COUNTIF($C$7:C739,'Tenant Statement'!$C$6),"")</f>
        <v/>
      </c>
    </row>
    <row r="740">
      <c r="B740" s="41" t="n"/>
      <c r="C740" s="18" t="n"/>
      <c r="D740" s="42">
        <f>IF(C740="","",IFERROR(INDEX(TenantProperty,MATCH(C740,Tenants,0)),""))</f>
        <v/>
      </c>
      <c r="E740" s="42">
        <f>IF(C740="","",IFERROR(INDEX(TenantUnit,MATCH(C740,Tenants,0)),""))</f>
        <v/>
      </c>
      <c r="F740" s="18" t="n"/>
      <c r="G740" s="18" t="n"/>
      <c r="H740" s="18" t="n"/>
      <c r="I740" s="18" t="n"/>
      <c r="J740" s="37" t="n"/>
      <c r="K740" s="37" t="n"/>
      <c r="L740" s="43">
        <f>IF(C740="","",SUMIFS($J$7:J740,$C$7:C740,C740)-SUMIFS($K$7:K740,$C$7:C740,C740))</f>
        <v/>
      </c>
      <c r="N740">
        <f>IF(AND(C740&lt;&gt;"",C740='Tenant Statement'!$C$6),COUNTIF($C$7:C740,'Tenant Statement'!$C$6),"")</f>
        <v/>
      </c>
    </row>
    <row r="741">
      <c r="B741" s="41" t="n"/>
      <c r="C741" s="18" t="n"/>
      <c r="D741" s="42">
        <f>IF(C741="","",IFERROR(INDEX(TenantProperty,MATCH(C741,Tenants,0)),""))</f>
        <v/>
      </c>
      <c r="E741" s="42">
        <f>IF(C741="","",IFERROR(INDEX(TenantUnit,MATCH(C741,Tenants,0)),""))</f>
        <v/>
      </c>
      <c r="F741" s="18" t="n"/>
      <c r="G741" s="18" t="n"/>
      <c r="H741" s="18" t="n"/>
      <c r="I741" s="18" t="n"/>
      <c r="J741" s="37" t="n"/>
      <c r="K741" s="37" t="n"/>
      <c r="L741" s="43">
        <f>IF(C741="","",SUMIFS($J$7:J741,$C$7:C741,C741)-SUMIFS($K$7:K741,$C$7:C741,C741))</f>
        <v/>
      </c>
      <c r="N741">
        <f>IF(AND(C741&lt;&gt;"",C741='Tenant Statement'!$C$6),COUNTIF($C$7:C741,'Tenant Statement'!$C$6),"")</f>
        <v/>
      </c>
    </row>
    <row r="742">
      <c r="B742" s="41" t="n"/>
      <c r="C742" s="18" t="n"/>
      <c r="D742" s="42">
        <f>IF(C742="","",IFERROR(INDEX(TenantProperty,MATCH(C742,Tenants,0)),""))</f>
        <v/>
      </c>
      <c r="E742" s="42">
        <f>IF(C742="","",IFERROR(INDEX(TenantUnit,MATCH(C742,Tenants,0)),""))</f>
        <v/>
      </c>
      <c r="F742" s="18" t="n"/>
      <c r="G742" s="18" t="n"/>
      <c r="H742" s="18" t="n"/>
      <c r="I742" s="18" t="n"/>
      <c r="J742" s="37" t="n"/>
      <c r="K742" s="37" t="n"/>
      <c r="L742" s="43">
        <f>IF(C742="","",SUMIFS($J$7:J742,$C$7:C742,C742)-SUMIFS($K$7:K742,$C$7:C742,C742))</f>
        <v/>
      </c>
      <c r="N742">
        <f>IF(AND(C742&lt;&gt;"",C742='Tenant Statement'!$C$6),COUNTIF($C$7:C742,'Tenant Statement'!$C$6),"")</f>
        <v/>
      </c>
    </row>
    <row r="743">
      <c r="B743" s="41" t="n"/>
      <c r="C743" s="18" t="n"/>
      <c r="D743" s="42">
        <f>IF(C743="","",IFERROR(INDEX(TenantProperty,MATCH(C743,Tenants,0)),""))</f>
        <v/>
      </c>
      <c r="E743" s="42">
        <f>IF(C743="","",IFERROR(INDEX(TenantUnit,MATCH(C743,Tenants,0)),""))</f>
        <v/>
      </c>
      <c r="F743" s="18" t="n"/>
      <c r="G743" s="18" t="n"/>
      <c r="H743" s="18" t="n"/>
      <c r="I743" s="18" t="n"/>
      <c r="J743" s="37" t="n"/>
      <c r="K743" s="37" t="n"/>
      <c r="L743" s="43">
        <f>IF(C743="","",SUMIFS($J$7:J743,$C$7:C743,C743)-SUMIFS($K$7:K743,$C$7:C743,C743))</f>
        <v/>
      </c>
      <c r="N743">
        <f>IF(AND(C743&lt;&gt;"",C743='Tenant Statement'!$C$6),COUNTIF($C$7:C743,'Tenant Statement'!$C$6),"")</f>
        <v/>
      </c>
    </row>
    <row r="744">
      <c r="B744" s="41" t="n"/>
      <c r="C744" s="18" t="n"/>
      <c r="D744" s="42">
        <f>IF(C744="","",IFERROR(INDEX(TenantProperty,MATCH(C744,Tenants,0)),""))</f>
        <v/>
      </c>
      <c r="E744" s="42">
        <f>IF(C744="","",IFERROR(INDEX(TenantUnit,MATCH(C744,Tenants,0)),""))</f>
        <v/>
      </c>
      <c r="F744" s="18" t="n"/>
      <c r="G744" s="18" t="n"/>
      <c r="H744" s="18" t="n"/>
      <c r="I744" s="18" t="n"/>
      <c r="J744" s="37" t="n"/>
      <c r="K744" s="37" t="n"/>
      <c r="L744" s="43">
        <f>IF(C744="","",SUMIFS($J$7:J744,$C$7:C744,C744)-SUMIFS($K$7:K744,$C$7:C744,C744))</f>
        <v/>
      </c>
      <c r="N744">
        <f>IF(AND(C744&lt;&gt;"",C744='Tenant Statement'!$C$6),COUNTIF($C$7:C744,'Tenant Statement'!$C$6),"")</f>
        <v/>
      </c>
    </row>
    <row r="745">
      <c r="B745" s="41" t="n"/>
      <c r="C745" s="18" t="n"/>
      <c r="D745" s="42">
        <f>IF(C745="","",IFERROR(INDEX(TenantProperty,MATCH(C745,Tenants,0)),""))</f>
        <v/>
      </c>
      <c r="E745" s="42">
        <f>IF(C745="","",IFERROR(INDEX(TenantUnit,MATCH(C745,Tenants,0)),""))</f>
        <v/>
      </c>
      <c r="F745" s="18" t="n"/>
      <c r="G745" s="18" t="n"/>
      <c r="H745" s="18" t="n"/>
      <c r="I745" s="18" t="n"/>
      <c r="J745" s="37" t="n"/>
      <c r="K745" s="37" t="n"/>
      <c r="L745" s="43">
        <f>IF(C745="","",SUMIFS($J$7:J745,$C$7:C745,C745)-SUMIFS($K$7:K745,$C$7:C745,C745))</f>
        <v/>
      </c>
      <c r="N745">
        <f>IF(AND(C745&lt;&gt;"",C745='Tenant Statement'!$C$6),COUNTIF($C$7:C745,'Tenant Statement'!$C$6),"")</f>
        <v/>
      </c>
    </row>
    <row r="746">
      <c r="B746" s="41" t="n"/>
      <c r="C746" s="18" t="n"/>
      <c r="D746" s="42">
        <f>IF(C746="","",IFERROR(INDEX(TenantProperty,MATCH(C746,Tenants,0)),""))</f>
        <v/>
      </c>
      <c r="E746" s="42">
        <f>IF(C746="","",IFERROR(INDEX(TenantUnit,MATCH(C746,Tenants,0)),""))</f>
        <v/>
      </c>
      <c r="F746" s="18" t="n"/>
      <c r="G746" s="18" t="n"/>
      <c r="H746" s="18" t="n"/>
      <c r="I746" s="18" t="n"/>
      <c r="J746" s="37" t="n"/>
      <c r="K746" s="37" t="n"/>
      <c r="L746" s="43">
        <f>IF(C746="","",SUMIFS($J$7:J746,$C$7:C746,C746)-SUMIFS($K$7:K746,$C$7:C746,C746))</f>
        <v/>
      </c>
      <c r="N746">
        <f>IF(AND(C746&lt;&gt;"",C746='Tenant Statement'!$C$6),COUNTIF($C$7:C746,'Tenant Statement'!$C$6),"")</f>
        <v/>
      </c>
    </row>
    <row r="747">
      <c r="B747" s="41" t="n"/>
      <c r="C747" s="18" t="n"/>
      <c r="D747" s="42">
        <f>IF(C747="","",IFERROR(INDEX(TenantProperty,MATCH(C747,Tenants,0)),""))</f>
        <v/>
      </c>
      <c r="E747" s="42">
        <f>IF(C747="","",IFERROR(INDEX(TenantUnit,MATCH(C747,Tenants,0)),""))</f>
        <v/>
      </c>
      <c r="F747" s="18" t="n"/>
      <c r="G747" s="18" t="n"/>
      <c r="H747" s="18" t="n"/>
      <c r="I747" s="18" t="n"/>
      <c r="J747" s="37" t="n"/>
      <c r="K747" s="37" t="n"/>
      <c r="L747" s="43">
        <f>IF(C747="","",SUMIFS($J$7:J747,$C$7:C747,C747)-SUMIFS($K$7:K747,$C$7:C747,C747))</f>
        <v/>
      </c>
      <c r="N747">
        <f>IF(AND(C747&lt;&gt;"",C747='Tenant Statement'!$C$6),COUNTIF($C$7:C747,'Tenant Statement'!$C$6),"")</f>
        <v/>
      </c>
    </row>
    <row r="748">
      <c r="B748" s="41" t="n"/>
      <c r="C748" s="18" t="n"/>
      <c r="D748" s="42">
        <f>IF(C748="","",IFERROR(INDEX(TenantProperty,MATCH(C748,Tenants,0)),""))</f>
        <v/>
      </c>
      <c r="E748" s="42">
        <f>IF(C748="","",IFERROR(INDEX(TenantUnit,MATCH(C748,Tenants,0)),""))</f>
        <v/>
      </c>
      <c r="F748" s="18" t="n"/>
      <c r="G748" s="18" t="n"/>
      <c r="H748" s="18" t="n"/>
      <c r="I748" s="18" t="n"/>
      <c r="J748" s="37" t="n"/>
      <c r="K748" s="37" t="n"/>
      <c r="L748" s="43">
        <f>IF(C748="","",SUMIFS($J$7:J748,$C$7:C748,C748)-SUMIFS($K$7:K748,$C$7:C748,C748))</f>
        <v/>
      </c>
      <c r="N748">
        <f>IF(AND(C748&lt;&gt;"",C748='Tenant Statement'!$C$6),COUNTIF($C$7:C748,'Tenant Statement'!$C$6),"")</f>
        <v/>
      </c>
    </row>
    <row r="749">
      <c r="B749" s="41" t="n"/>
      <c r="C749" s="18" t="n"/>
      <c r="D749" s="42">
        <f>IF(C749="","",IFERROR(INDEX(TenantProperty,MATCH(C749,Tenants,0)),""))</f>
        <v/>
      </c>
      <c r="E749" s="42">
        <f>IF(C749="","",IFERROR(INDEX(TenantUnit,MATCH(C749,Tenants,0)),""))</f>
        <v/>
      </c>
      <c r="F749" s="18" t="n"/>
      <c r="G749" s="18" t="n"/>
      <c r="H749" s="18" t="n"/>
      <c r="I749" s="18" t="n"/>
      <c r="J749" s="37" t="n"/>
      <c r="K749" s="37" t="n"/>
      <c r="L749" s="43">
        <f>IF(C749="","",SUMIFS($J$7:J749,$C$7:C749,C749)-SUMIFS($K$7:K749,$C$7:C749,C749))</f>
        <v/>
      </c>
      <c r="N749">
        <f>IF(AND(C749&lt;&gt;"",C749='Tenant Statement'!$C$6),COUNTIF($C$7:C749,'Tenant Statement'!$C$6),"")</f>
        <v/>
      </c>
    </row>
    <row r="750">
      <c r="B750" s="41" t="n"/>
      <c r="C750" s="18" t="n"/>
      <c r="D750" s="42">
        <f>IF(C750="","",IFERROR(INDEX(TenantProperty,MATCH(C750,Tenants,0)),""))</f>
        <v/>
      </c>
      <c r="E750" s="42">
        <f>IF(C750="","",IFERROR(INDEX(TenantUnit,MATCH(C750,Tenants,0)),""))</f>
        <v/>
      </c>
      <c r="F750" s="18" t="n"/>
      <c r="G750" s="18" t="n"/>
      <c r="H750" s="18" t="n"/>
      <c r="I750" s="18" t="n"/>
      <c r="J750" s="37" t="n"/>
      <c r="K750" s="37" t="n"/>
      <c r="L750" s="43">
        <f>IF(C750="","",SUMIFS($J$7:J750,$C$7:C750,C750)-SUMIFS($K$7:K750,$C$7:C750,C750))</f>
        <v/>
      </c>
      <c r="N750">
        <f>IF(AND(C750&lt;&gt;"",C750='Tenant Statement'!$C$6),COUNTIF($C$7:C750,'Tenant Statement'!$C$6),"")</f>
        <v/>
      </c>
    </row>
    <row r="751">
      <c r="B751" s="41" t="n"/>
      <c r="C751" s="18" t="n"/>
      <c r="D751" s="42">
        <f>IF(C751="","",IFERROR(INDEX(TenantProperty,MATCH(C751,Tenants,0)),""))</f>
        <v/>
      </c>
      <c r="E751" s="42">
        <f>IF(C751="","",IFERROR(INDEX(TenantUnit,MATCH(C751,Tenants,0)),""))</f>
        <v/>
      </c>
      <c r="F751" s="18" t="n"/>
      <c r="G751" s="18" t="n"/>
      <c r="H751" s="18" t="n"/>
      <c r="I751" s="18" t="n"/>
      <c r="J751" s="37" t="n"/>
      <c r="K751" s="37" t="n"/>
      <c r="L751" s="43">
        <f>IF(C751="","",SUMIFS($J$7:J751,$C$7:C751,C751)-SUMIFS($K$7:K751,$C$7:C751,C751))</f>
        <v/>
      </c>
      <c r="N751">
        <f>IF(AND(C751&lt;&gt;"",C751='Tenant Statement'!$C$6),COUNTIF($C$7:C751,'Tenant Statement'!$C$6),"")</f>
        <v/>
      </c>
    </row>
    <row r="752">
      <c r="B752" s="41" t="n"/>
      <c r="C752" s="18" t="n"/>
      <c r="D752" s="42">
        <f>IF(C752="","",IFERROR(INDEX(TenantProperty,MATCH(C752,Tenants,0)),""))</f>
        <v/>
      </c>
      <c r="E752" s="42">
        <f>IF(C752="","",IFERROR(INDEX(TenantUnit,MATCH(C752,Tenants,0)),""))</f>
        <v/>
      </c>
      <c r="F752" s="18" t="n"/>
      <c r="G752" s="18" t="n"/>
      <c r="H752" s="18" t="n"/>
      <c r="I752" s="18" t="n"/>
      <c r="J752" s="37" t="n"/>
      <c r="K752" s="37" t="n"/>
      <c r="L752" s="43">
        <f>IF(C752="","",SUMIFS($J$7:J752,$C$7:C752,C752)-SUMIFS($K$7:K752,$C$7:C752,C752))</f>
        <v/>
      </c>
      <c r="N752">
        <f>IF(AND(C752&lt;&gt;"",C752='Tenant Statement'!$C$6),COUNTIF($C$7:C752,'Tenant Statement'!$C$6),"")</f>
        <v/>
      </c>
    </row>
    <row r="753">
      <c r="B753" s="41" t="n"/>
      <c r="C753" s="18" t="n"/>
      <c r="D753" s="42">
        <f>IF(C753="","",IFERROR(INDEX(TenantProperty,MATCH(C753,Tenants,0)),""))</f>
        <v/>
      </c>
      <c r="E753" s="42">
        <f>IF(C753="","",IFERROR(INDEX(TenantUnit,MATCH(C753,Tenants,0)),""))</f>
        <v/>
      </c>
      <c r="F753" s="18" t="n"/>
      <c r="G753" s="18" t="n"/>
      <c r="H753" s="18" t="n"/>
      <c r="I753" s="18" t="n"/>
      <c r="J753" s="37" t="n"/>
      <c r="K753" s="37" t="n"/>
      <c r="L753" s="43">
        <f>IF(C753="","",SUMIFS($J$7:J753,$C$7:C753,C753)-SUMIFS($K$7:K753,$C$7:C753,C753))</f>
        <v/>
      </c>
      <c r="N753">
        <f>IF(AND(C753&lt;&gt;"",C753='Tenant Statement'!$C$6),COUNTIF($C$7:C753,'Tenant Statement'!$C$6),"")</f>
        <v/>
      </c>
    </row>
    <row r="754">
      <c r="B754" s="41" t="n"/>
      <c r="C754" s="18" t="n"/>
      <c r="D754" s="42">
        <f>IF(C754="","",IFERROR(INDEX(TenantProperty,MATCH(C754,Tenants,0)),""))</f>
        <v/>
      </c>
      <c r="E754" s="42">
        <f>IF(C754="","",IFERROR(INDEX(TenantUnit,MATCH(C754,Tenants,0)),""))</f>
        <v/>
      </c>
      <c r="F754" s="18" t="n"/>
      <c r="G754" s="18" t="n"/>
      <c r="H754" s="18" t="n"/>
      <c r="I754" s="18" t="n"/>
      <c r="J754" s="37" t="n"/>
      <c r="K754" s="37" t="n"/>
      <c r="L754" s="43">
        <f>IF(C754="","",SUMIFS($J$7:J754,$C$7:C754,C754)-SUMIFS($K$7:K754,$C$7:C754,C754))</f>
        <v/>
      </c>
      <c r="N754">
        <f>IF(AND(C754&lt;&gt;"",C754='Tenant Statement'!$C$6),COUNTIF($C$7:C754,'Tenant Statement'!$C$6),"")</f>
        <v/>
      </c>
    </row>
    <row r="755">
      <c r="B755" s="41" t="n"/>
      <c r="C755" s="18" t="n"/>
      <c r="D755" s="42">
        <f>IF(C755="","",IFERROR(INDEX(TenantProperty,MATCH(C755,Tenants,0)),""))</f>
        <v/>
      </c>
      <c r="E755" s="42">
        <f>IF(C755="","",IFERROR(INDEX(TenantUnit,MATCH(C755,Tenants,0)),""))</f>
        <v/>
      </c>
      <c r="F755" s="18" t="n"/>
      <c r="G755" s="18" t="n"/>
      <c r="H755" s="18" t="n"/>
      <c r="I755" s="18" t="n"/>
      <c r="J755" s="37" t="n"/>
      <c r="K755" s="37" t="n"/>
      <c r="L755" s="43">
        <f>IF(C755="","",SUMIFS($J$7:J755,$C$7:C755,C755)-SUMIFS($K$7:K755,$C$7:C755,C755))</f>
        <v/>
      </c>
      <c r="N755">
        <f>IF(AND(C755&lt;&gt;"",C755='Tenant Statement'!$C$6),COUNTIF($C$7:C755,'Tenant Statement'!$C$6),"")</f>
        <v/>
      </c>
    </row>
    <row r="756">
      <c r="B756" s="41" t="n"/>
      <c r="C756" s="18" t="n"/>
      <c r="D756" s="42">
        <f>IF(C756="","",IFERROR(INDEX(TenantProperty,MATCH(C756,Tenants,0)),""))</f>
        <v/>
      </c>
      <c r="E756" s="42">
        <f>IF(C756="","",IFERROR(INDEX(TenantUnit,MATCH(C756,Tenants,0)),""))</f>
        <v/>
      </c>
      <c r="F756" s="18" t="n"/>
      <c r="G756" s="18" t="n"/>
      <c r="H756" s="18" t="n"/>
      <c r="I756" s="18" t="n"/>
      <c r="J756" s="37" t="n"/>
      <c r="K756" s="37" t="n"/>
      <c r="L756" s="43">
        <f>IF(C756="","",SUMIFS($J$7:J756,$C$7:C756,C756)-SUMIFS($K$7:K756,$C$7:C756,C756))</f>
        <v/>
      </c>
      <c r="N756">
        <f>IF(AND(C756&lt;&gt;"",C756='Tenant Statement'!$C$6),COUNTIF($C$7:C756,'Tenant Statement'!$C$6),"")</f>
        <v/>
      </c>
    </row>
    <row r="757">
      <c r="B757" s="41" t="n"/>
      <c r="C757" s="18" t="n"/>
      <c r="D757" s="42">
        <f>IF(C757="","",IFERROR(INDEX(TenantProperty,MATCH(C757,Tenants,0)),""))</f>
        <v/>
      </c>
      <c r="E757" s="42">
        <f>IF(C757="","",IFERROR(INDEX(TenantUnit,MATCH(C757,Tenants,0)),""))</f>
        <v/>
      </c>
      <c r="F757" s="18" t="n"/>
      <c r="G757" s="18" t="n"/>
      <c r="H757" s="18" t="n"/>
      <c r="I757" s="18" t="n"/>
      <c r="J757" s="37" t="n"/>
      <c r="K757" s="37" t="n"/>
      <c r="L757" s="43">
        <f>IF(C757="","",SUMIFS($J$7:J757,$C$7:C757,C757)-SUMIFS($K$7:K757,$C$7:C757,C757))</f>
        <v/>
      </c>
      <c r="N757">
        <f>IF(AND(C757&lt;&gt;"",C757='Tenant Statement'!$C$6),COUNTIF($C$7:C757,'Tenant Statement'!$C$6),"")</f>
        <v/>
      </c>
    </row>
    <row r="758">
      <c r="B758" s="41" t="n"/>
      <c r="C758" s="18" t="n"/>
      <c r="D758" s="42">
        <f>IF(C758="","",IFERROR(INDEX(TenantProperty,MATCH(C758,Tenants,0)),""))</f>
        <v/>
      </c>
      <c r="E758" s="42">
        <f>IF(C758="","",IFERROR(INDEX(TenantUnit,MATCH(C758,Tenants,0)),""))</f>
        <v/>
      </c>
      <c r="F758" s="18" t="n"/>
      <c r="G758" s="18" t="n"/>
      <c r="H758" s="18" t="n"/>
      <c r="I758" s="18" t="n"/>
      <c r="J758" s="37" t="n"/>
      <c r="K758" s="37" t="n"/>
      <c r="L758" s="43">
        <f>IF(C758="","",SUMIFS($J$7:J758,$C$7:C758,C758)-SUMIFS($K$7:K758,$C$7:C758,C758))</f>
        <v/>
      </c>
      <c r="N758">
        <f>IF(AND(C758&lt;&gt;"",C758='Tenant Statement'!$C$6),COUNTIF($C$7:C758,'Tenant Statement'!$C$6),"")</f>
        <v/>
      </c>
    </row>
    <row r="759">
      <c r="B759" s="41" t="n"/>
      <c r="C759" s="18" t="n"/>
      <c r="D759" s="42">
        <f>IF(C759="","",IFERROR(INDEX(TenantProperty,MATCH(C759,Tenants,0)),""))</f>
        <v/>
      </c>
      <c r="E759" s="42">
        <f>IF(C759="","",IFERROR(INDEX(TenantUnit,MATCH(C759,Tenants,0)),""))</f>
        <v/>
      </c>
      <c r="F759" s="18" t="n"/>
      <c r="G759" s="18" t="n"/>
      <c r="H759" s="18" t="n"/>
      <c r="I759" s="18" t="n"/>
      <c r="J759" s="37" t="n"/>
      <c r="K759" s="37" t="n"/>
      <c r="L759" s="43">
        <f>IF(C759="","",SUMIFS($J$7:J759,$C$7:C759,C759)-SUMIFS($K$7:K759,$C$7:C759,C759))</f>
        <v/>
      </c>
      <c r="N759">
        <f>IF(AND(C759&lt;&gt;"",C759='Tenant Statement'!$C$6),COUNTIF($C$7:C759,'Tenant Statement'!$C$6),"")</f>
        <v/>
      </c>
    </row>
    <row r="760">
      <c r="B760" s="41" t="n"/>
      <c r="C760" s="18" t="n"/>
      <c r="D760" s="42">
        <f>IF(C760="","",IFERROR(INDEX(TenantProperty,MATCH(C760,Tenants,0)),""))</f>
        <v/>
      </c>
      <c r="E760" s="42">
        <f>IF(C760="","",IFERROR(INDEX(TenantUnit,MATCH(C760,Tenants,0)),""))</f>
        <v/>
      </c>
      <c r="F760" s="18" t="n"/>
      <c r="G760" s="18" t="n"/>
      <c r="H760" s="18" t="n"/>
      <c r="I760" s="18" t="n"/>
      <c r="J760" s="37" t="n"/>
      <c r="K760" s="37" t="n"/>
      <c r="L760" s="43">
        <f>IF(C760="","",SUMIFS($J$7:J760,$C$7:C760,C760)-SUMIFS($K$7:K760,$C$7:C760,C760))</f>
        <v/>
      </c>
      <c r="N760">
        <f>IF(AND(C760&lt;&gt;"",C760='Tenant Statement'!$C$6),COUNTIF($C$7:C760,'Tenant Statement'!$C$6),"")</f>
        <v/>
      </c>
    </row>
    <row r="761">
      <c r="B761" s="41" t="n"/>
      <c r="C761" s="18" t="n"/>
      <c r="D761" s="42">
        <f>IF(C761="","",IFERROR(INDEX(TenantProperty,MATCH(C761,Tenants,0)),""))</f>
        <v/>
      </c>
      <c r="E761" s="42">
        <f>IF(C761="","",IFERROR(INDEX(TenantUnit,MATCH(C761,Tenants,0)),""))</f>
        <v/>
      </c>
      <c r="F761" s="18" t="n"/>
      <c r="G761" s="18" t="n"/>
      <c r="H761" s="18" t="n"/>
      <c r="I761" s="18" t="n"/>
      <c r="J761" s="37" t="n"/>
      <c r="K761" s="37" t="n"/>
      <c r="L761" s="43">
        <f>IF(C761="","",SUMIFS($J$7:J761,$C$7:C761,C761)-SUMIFS($K$7:K761,$C$7:C761,C761))</f>
        <v/>
      </c>
      <c r="N761">
        <f>IF(AND(C761&lt;&gt;"",C761='Tenant Statement'!$C$6),COUNTIF($C$7:C761,'Tenant Statement'!$C$6),"")</f>
        <v/>
      </c>
    </row>
    <row r="762">
      <c r="B762" s="41" t="n"/>
      <c r="C762" s="18" t="n"/>
      <c r="D762" s="42">
        <f>IF(C762="","",IFERROR(INDEX(TenantProperty,MATCH(C762,Tenants,0)),""))</f>
        <v/>
      </c>
      <c r="E762" s="42">
        <f>IF(C762="","",IFERROR(INDEX(TenantUnit,MATCH(C762,Tenants,0)),""))</f>
        <v/>
      </c>
      <c r="F762" s="18" t="n"/>
      <c r="G762" s="18" t="n"/>
      <c r="H762" s="18" t="n"/>
      <c r="I762" s="18" t="n"/>
      <c r="J762" s="37" t="n"/>
      <c r="K762" s="37" t="n"/>
      <c r="L762" s="43">
        <f>IF(C762="","",SUMIFS($J$7:J762,$C$7:C762,C762)-SUMIFS($K$7:K762,$C$7:C762,C762))</f>
        <v/>
      </c>
      <c r="N762">
        <f>IF(AND(C762&lt;&gt;"",C762='Tenant Statement'!$C$6),COUNTIF($C$7:C762,'Tenant Statement'!$C$6),"")</f>
        <v/>
      </c>
    </row>
    <row r="763">
      <c r="B763" s="41" t="n"/>
      <c r="C763" s="18" t="n"/>
      <c r="D763" s="42">
        <f>IF(C763="","",IFERROR(INDEX(TenantProperty,MATCH(C763,Tenants,0)),""))</f>
        <v/>
      </c>
      <c r="E763" s="42">
        <f>IF(C763="","",IFERROR(INDEX(TenantUnit,MATCH(C763,Tenants,0)),""))</f>
        <v/>
      </c>
      <c r="F763" s="18" t="n"/>
      <c r="G763" s="18" t="n"/>
      <c r="H763" s="18" t="n"/>
      <c r="I763" s="18" t="n"/>
      <c r="J763" s="37" t="n"/>
      <c r="K763" s="37" t="n"/>
      <c r="L763" s="43">
        <f>IF(C763="","",SUMIFS($J$7:J763,$C$7:C763,C763)-SUMIFS($K$7:K763,$C$7:C763,C763))</f>
        <v/>
      </c>
      <c r="N763">
        <f>IF(AND(C763&lt;&gt;"",C763='Tenant Statement'!$C$6),COUNTIF($C$7:C763,'Tenant Statement'!$C$6),"")</f>
        <v/>
      </c>
    </row>
    <row r="764">
      <c r="B764" s="41" t="n"/>
      <c r="C764" s="18" t="n"/>
      <c r="D764" s="42">
        <f>IF(C764="","",IFERROR(INDEX(TenantProperty,MATCH(C764,Tenants,0)),""))</f>
        <v/>
      </c>
      <c r="E764" s="42">
        <f>IF(C764="","",IFERROR(INDEX(TenantUnit,MATCH(C764,Tenants,0)),""))</f>
        <v/>
      </c>
      <c r="F764" s="18" t="n"/>
      <c r="G764" s="18" t="n"/>
      <c r="H764" s="18" t="n"/>
      <c r="I764" s="18" t="n"/>
      <c r="J764" s="37" t="n"/>
      <c r="K764" s="37" t="n"/>
      <c r="L764" s="43">
        <f>IF(C764="","",SUMIFS($J$7:J764,$C$7:C764,C764)-SUMIFS($K$7:K764,$C$7:C764,C764))</f>
        <v/>
      </c>
      <c r="N764">
        <f>IF(AND(C764&lt;&gt;"",C764='Tenant Statement'!$C$6),COUNTIF($C$7:C764,'Tenant Statement'!$C$6),"")</f>
        <v/>
      </c>
    </row>
    <row r="765">
      <c r="B765" s="41" t="n"/>
      <c r="C765" s="18" t="n"/>
      <c r="D765" s="42">
        <f>IF(C765="","",IFERROR(INDEX(TenantProperty,MATCH(C765,Tenants,0)),""))</f>
        <v/>
      </c>
      <c r="E765" s="42">
        <f>IF(C765="","",IFERROR(INDEX(TenantUnit,MATCH(C765,Tenants,0)),""))</f>
        <v/>
      </c>
      <c r="F765" s="18" t="n"/>
      <c r="G765" s="18" t="n"/>
      <c r="H765" s="18" t="n"/>
      <c r="I765" s="18" t="n"/>
      <c r="J765" s="37" t="n"/>
      <c r="K765" s="37" t="n"/>
      <c r="L765" s="43">
        <f>IF(C765="","",SUMIFS($J$7:J765,$C$7:C765,C765)-SUMIFS($K$7:K765,$C$7:C765,C765))</f>
        <v/>
      </c>
      <c r="N765">
        <f>IF(AND(C765&lt;&gt;"",C765='Tenant Statement'!$C$6),COUNTIF($C$7:C765,'Tenant Statement'!$C$6),"")</f>
        <v/>
      </c>
    </row>
    <row r="766">
      <c r="B766" s="41" t="n"/>
      <c r="C766" s="18" t="n"/>
      <c r="D766" s="42">
        <f>IF(C766="","",IFERROR(INDEX(TenantProperty,MATCH(C766,Tenants,0)),""))</f>
        <v/>
      </c>
      <c r="E766" s="42">
        <f>IF(C766="","",IFERROR(INDEX(TenantUnit,MATCH(C766,Tenants,0)),""))</f>
        <v/>
      </c>
      <c r="F766" s="18" t="n"/>
      <c r="G766" s="18" t="n"/>
      <c r="H766" s="18" t="n"/>
      <c r="I766" s="18" t="n"/>
      <c r="J766" s="37" t="n"/>
      <c r="K766" s="37" t="n"/>
      <c r="L766" s="43">
        <f>IF(C766="","",SUMIFS($J$7:J766,$C$7:C766,C766)-SUMIFS($K$7:K766,$C$7:C766,C766))</f>
        <v/>
      </c>
      <c r="N766">
        <f>IF(AND(C766&lt;&gt;"",C766='Tenant Statement'!$C$6),COUNTIF($C$7:C766,'Tenant Statement'!$C$6),"")</f>
        <v/>
      </c>
    </row>
    <row r="767">
      <c r="B767" s="41" t="n"/>
      <c r="C767" s="18" t="n"/>
      <c r="D767" s="42">
        <f>IF(C767="","",IFERROR(INDEX(TenantProperty,MATCH(C767,Tenants,0)),""))</f>
        <v/>
      </c>
      <c r="E767" s="42">
        <f>IF(C767="","",IFERROR(INDEX(TenantUnit,MATCH(C767,Tenants,0)),""))</f>
        <v/>
      </c>
      <c r="F767" s="18" t="n"/>
      <c r="G767" s="18" t="n"/>
      <c r="H767" s="18" t="n"/>
      <c r="I767" s="18" t="n"/>
      <c r="J767" s="37" t="n"/>
      <c r="K767" s="37" t="n"/>
      <c r="L767" s="43">
        <f>IF(C767="","",SUMIFS($J$7:J767,$C$7:C767,C767)-SUMIFS($K$7:K767,$C$7:C767,C767))</f>
        <v/>
      </c>
      <c r="N767">
        <f>IF(AND(C767&lt;&gt;"",C767='Tenant Statement'!$C$6),COUNTIF($C$7:C767,'Tenant Statement'!$C$6),"")</f>
        <v/>
      </c>
    </row>
    <row r="768">
      <c r="B768" s="41" t="n"/>
      <c r="C768" s="18" t="n"/>
      <c r="D768" s="42">
        <f>IF(C768="","",IFERROR(INDEX(TenantProperty,MATCH(C768,Tenants,0)),""))</f>
        <v/>
      </c>
      <c r="E768" s="42">
        <f>IF(C768="","",IFERROR(INDEX(TenantUnit,MATCH(C768,Tenants,0)),""))</f>
        <v/>
      </c>
      <c r="F768" s="18" t="n"/>
      <c r="G768" s="18" t="n"/>
      <c r="H768" s="18" t="n"/>
      <c r="I768" s="18" t="n"/>
      <c r="J768" s="37" t="n"/>
      <c r="K768" s="37" t="n"/>
      <c r="L768" s="43">
        <f>IF(C768="","",SUMIFS($J$7:J768,$C$7:C768,C768)-SUMIFS($K$7:K768,$C$7:C768,C768))</f>
        <v/>
      </c>
      <c r="N768">
        <f>IF(AND(C768&lt;&gt;"",C768='Tenant Statement'!$C$6),COUNTIF($C$7:C768,'Tenant Statement'!$C$6),"")</f>
        <v/>
      </c>
    </row>
    <row r="769">
      <c r="B769" s="41" t="n"/>
      <c r="C769" s="18" t="n"/>
      <c r="D769" s="42">
        <f>IF(C769="","",IFERROR(INDEX(TenantProperty,MATCH(C769,Tenants,0)),""))</f>
        <v/>
      </c>
      <c r="E769" s="42">
        <f>IF(C769="","",IFERROR(INDEX(TenantUnit,MATCH(C769,Tenants,0)),""))</f>
        <v/>
      </c>
      <c r="F769" s="18" t="n"/>
      <c r="G769" s="18" t="n"/>
      <c r="H769" s="18" t="n"/>
      <c r="I769" s="18" t="n"/>
      <c r="J769" s="37" t="n"/>
      <c r="K769" s="37" t="n"/>
      <c r="L769" s="43">
        <f>IF(C769="","",SUMIFS($J$7:J769,$C$7:C769,C769)-SUMIFS($K$7:K769,$C$7:C769,C769))</f>
        <v/>
      </c>
      <c r="N769">
        <f>IF(AND(C769&lt;&gt;"",C769='Tenant Statement'!$C$6),COUNTIF($C$7:C769,'Tenant Statement'!$C$6),"")</f>
        <v/>
      </c>
    </row>
    <row r="770">
      <c r="B770" s="41" t="n"/>
      <c r="C770" s="18" t="n"/>
      <c r="D770" s="42">
        <f>IF(C770="","",IFERROR(INDEX(TenantProperty,MATCH(C770,Tenants,0)),""))</f>
        <v/>
      </c>
      <c r="E770" s="42">
        <f>IF(C770="","",IFERROR(INDEX(TenantUnit,MATCH(C770,Tenants,0)),""))</f>
        <v/>
      </c>
      <c r="F770" s="18" t="n"/>
      <c r="G770" s="18" t="n"/>
      <c r="H770" s="18" t="n"/>
      <c r="I770" s="18" t="n"/>
      <c r="J770" s="37" t="n"/>
      <c r="K770" s="37" t="n"/>
      <c r="L770" s="43">
        <f>IF(C770="","",SUMIFS($J$7:J770,$C$7:C770,C770)-SUMIFS($K$7:K770,$C$7:C770,C770))</f>
        <v/>
      </c>
      <c r="N770">
        <f>IF(AND(C770&lt;&gt;"",C770='Tenant Statement'!$C$6),COUNTIF($C$7:C770,'Tenant Statement'!$C$6),"")</f>
        <v/>
      </c>
    </row>
    <row r="771">
      <c r="B771" s="41" t="n"/>
      <c r="C771" s="18" t="n"/>
      <c r="D771" s="42">
        <f>IF(C771="","",IFERROR(INDEX(TenantProperty,MATCH(C771,Tenants,0)),""))</f>
        <v/>
      </c>
      <c r="E771" s="42">
        <f>IF(C771="","",IFERROR(INDEX(TenantUnit,MATCH(C771,Tenants,0)),""))</f>
        <v/>
      </c>
      <c r="F771" s="18" t="n"/>
      <c r="G771" s="18" t="n"/>
      <c r="H771" s="18" t="n"/>
      <c r="I771" s="18" t="n"/>
      <c r="J771" s="37" t="n"/>
      <c r="K771" s="37" t="n"/>
      <c r="L771" s="43">
        <f>IF(C771="","",SUMIFS($J$7:J771,$C$7:C771,C771)-SUMIFS($K$7:K771,$C$7:C771,C771))</f>
        <v/>
      </c>
      <c r="N771">
        <f>IF(AND(C771&lt;&gt;"",C771='Tenant Statement'!$C$6),COUNTIF($C$7:C771,'Tenant Statement'!$C$6),"")</f>
        <v/>
      </c>
    </row>
    <row r="772">
      <c r="B772" s="41" t="n"/>
      <c r="C772" s="18" t="n"/>
      <c r="D772" s="42">
        <f>IF(C772="","",IFERROR(INDEX(TenantProperty,MATCH(C772,Tenants,0)),""))</f>
        <v/>
      </c>
      <c r="E772" s="42">
        <f>IF(C772="","",IFERROR(INDEX(TenantUnit,MATCH(C772,Tenants,0)),""))</f>
        <v/>
      </c>
      <c r="F772" s="18" t="n"/>
      <c r="G772" s="18" t="n"/>
      <c r="H772" s="18" t="n"/>
      <c r="I772" s="18" t="n"/>
      <c r="J772" s="37" t="n"/>
      <c r="K772" s="37" t="n"/>
      <c r="L772" s="43">
        <f>IF(C772="","",SUMIFS($J$7:J772,$C$7:C772,C772)-SUMIFS($K$7:K772,$C$7:C772,C772))</f>
        <v/>
      </c>
      <c r="N772">
        <f>IF(AND(C772&lt;&gt;"",C772='Tenant Statement'!$C$6),COUNTIF($C$7:C772,'Tenant Statement'!$C$6),"")</f>
        <v/>
      </c>
    </row>
    <row r="773">
      <c r="B773" s="41" t="n"/>
      <c r="C773" s="18" t="n"/>
      <c r="D773" s="42">
        <f>IF(C773="","",IFERROR(INDEX(TenantProperty,MATCH(C773,Tenants,0)),""))</f>
        <v/>
      </c>
      <c r="E773" s="42">
        <f>IF(C773="","",IFERROR(INDEX(TenantUnit,MATCH(C773,Tenants,0)),""))</f>
        <v/>
      </c>
      <c r="F773" s="18" t="n"/>
      <c r="G773" s="18" t="n"/>
      <c r="H773" s="18" t="n"/>
      <c r="I773" s="18" t="n"/>
      <c r="J773" s="37" t="n"/>
      <c r="K773" s="37" t="n"/>
      <c r="L773" s="43">
        <f>IF(C773="","",SUMIFS($J$7:J773,$C$7:C773,C773)-SUMIFS($K$7:K773,$C$7:C773,C773))</f>
        <v/>
      </c>
      <c r="N773">
        <f>IF(AND(C773&lt;&gt;"",C773='Tenant Statement'!$C$6),COUNTIF($C$7:C773,'Tenant Statement'!$C$6),"")</f>
        <v/>
      </c>
    </row>
    <row r="774">
      <c r="B774" s="41" t="n"/>
      <c r="C774" s="18" t="n"/>
      <c r="D774" s="42">
        <f>IF(C774="","",IFERROR(INDEX(TenantProperty,MATCH(C774,Tenants,0)),""))</f>
        <v/>
      </c>
      <c r="E774" s="42">
        <f>IF(C774="","",IFERROR(INDEX(TenantUnit,MATCH(C774,Tenants,0)),""))</f>
        <v/>
      </c>
      <c r="F774" s="18" t="n"/>
      <c r="G774" s="18" t="n"/>
      <c r="H774" s="18" t="n"/>
      <c r="I774" s="18" t="n"/>
      <c r="J774" s="37" t="n"/>
      <c r="K774" s="37" t="n"/>
      <c r="L774" s="43">
        <f>IF(C774="","",SUMIFS($J$7:J774,$C$7:C774,C774)-SUMIFS($K$7:K774,$C$7:C774,C774))</f>
        <v/>
      </c>
      <c r="N774">
        <f>IF(AND(C774&lt;&gt;"",C774='Tenant Statement'!$C$6),COUNTIF($C$7:C774,'Tenant Statement'!$C$6),"")</f>
        <v/>
      </c>
    </row>
    <row r="775">
      <c r="B775" s="41" t="n"/>
      <c r="C775" s="18" t="n"/>
      <c r="D775" s="42">
        <f>IF(C775="","",IFERROR(INDEX(TenantProperty,MATCH(C775,Tenants,0)),""))</f>
        <v/>
      </c>
      <c r="E775" s="42">
        <f>IF(C775="","",IFERROR(INDEX(TenantUnit,MATCH(C775,Tenants,0)),""))</f>
        <v/>
      </c>
      <c r="F775" s="18" t="n"/>
      <c r="G775" s="18" t="n"/>
      <c r="H775" s="18" t="n"/>
      <c r="I775" s="18" t="n"/>
      <c r="J775" s="37" t="n"/>
      <c r="K775" s="37" t="n"/>
      <c r="L775" s="43">
        <f>IF(C775="","",SUMIFS($J$7:J775,$C$7:C775,C775)-SUMIFS($K$7:K775,$C$7:C775,C775))</f>
        <v/>
      </c>
      <c r="N775">
        <f>IF(AND(C775&lt;&gt;"",C775='Tenant Statement'!$C$6),COUNTIF($C$7:C775,'Tenant Statement'!$C$6),"")</f>
        <v/>
      </c>
    </row>
    <row r="776">
      <c r="B776" s="41" t="n"/>
      <c r="C776" s="18" t="n"/>
      <c r="D776" s="42">
        <f>IF(C776="","",IFERROR(INDEX(TenantProperty,MATCH(C776,Tenants,0)),""))</f>
        <v/>
      </c>
      <c r="E776" s="42">
        <f>IF(C776="","",IFERROR(INDEX(TenantUnit,MATCH(C776,Tenants,0)),""))</f>
        <v/>
      </c>
      <c r="F776" s="18" t="n"/>
      <c r="G776" s="18" t="n"/>
      <c r="H776" s="18" t="n"/>
      <c r="I776" s="18" t="n"/>
      <c r="J776" s="37" t="n"/>
      <c r="K776" s="37" t="n"/>
      <c r="L776" s="43">
        <f>IF(C776="","",SUMIFS($J$7:J776,$C$7:C776,C776)-SUMIFS($K$7:K776,$C$7:C776,C776))</f>
        <v/>
      </c>
      <c r="N776">
        <f>IF(AND(C776&lt;&gt;"",C776='Tenant Statement'!$C$6),COUNTIF($C$7:C776,'Tenant Statement'!$C$6),"")</f>
        <v/>
      </c>
    </row>
    <row r="777">
      <c r="B777" s="41" t="n"/>
      <c r="C777" s="18" t="n"/>
      <c r="D777" s="42">
        <f>IF(C777="","",IFERROR(INDEX(TenantProperty,MATCH(C777,Tenants,0)),""))</f>
        <v/>
      </c>
      <c r="E777" s="42">
        <f>IF(C777="","",IFERROR(INDEX(TenantUnit,MATCH(C777,Tenants,0)),""))</f>
        <v/>
      </c>
      <c r="F777" s="18" t="n"/>
      <c r="G777" s="18" t="n"/>
      <c r="H777" s="18" t="n"/>
      <c r="I777" s="18" t="n"/>
      <c r="J777" s="37" t="n"/>
      <c r="K777" s="37" t="n"/>
      <c r="L777" s="43">
        <f>IF(C777="","",SUMIFS($J$7:J777,$C$7:C777,C777)-SUMIFS($K$7:K777,$C$7:C777,C777))</f>
        <v/>
      </c>
      <c r="N777">
        <f>IF(AND(C777&lt;&gt;"",C777='Tenant Statement'!$C$6),COUNTIF($C$7:C777,'Tenant Statement'!$C$6),"")</f>
        <v/>
      </c>
    </row>
    <row r="778">
      <c r="B778" s="41" t="n"/>
      <c r="C778" s="18" t="n"/>
      <c r="D778" s="42">
        <f>IF(C778="","",IFERROR(INDEX(TenantProperty,MATCH(C778,Tenants,0)),""))</f>
        <v/>
      </c>
      <c r="E778" s="42">
        <f>IF(C778="","",IFERROR(INDEX(TenantUnit,MATCH(C778,Tenants,0)),""))</f>
        <v/>
      </c>
      <c r="F778" s="18" t="n"/>
      <c r="G778" s="18" t="n"/>
      <c r="H778" s="18" t="n"/>
      <c r="I778" s="18" t="n"/>
      <c r="J778" s="37" t="n"/>
      <c r="K778" s="37" t="n"/>
      <c r="L778" s="43">
        <f>IF(C778="","",SUMIFS($J$7:J778,$C$7:C778,C778)-SUMIFS($K$7:K778,$C$7:C778,C778))</f>
        <v/>
      </c>
      <c r="N778">
        <f>IF(AND(C778&lt;&gt;"",C778='Tenant Statement'!$C$6),COUNTIF($C$7:C778,'Tenant Statement'!$C$6),"")</f>
        <v/>
      </c>
    </row>
    <row r="779">
      <c r="B779" s="41" t="n"/>
      <c r="C779" s="18" t="n"/>
      <c r="D779" s="42">
        <f>IF(C779="","",IFERROR(INDEX(TenantProperty,MATCH(C779,Tenants,0)),""))</f>
        <v/>
      </c>
      <c r="E779" s="42">
        <f>IF(C779="","",IFERROR(INDEX(TenantUnit,MATCH(C779,Tenants,0)),""))</f>
        <v/>
      </c>
      <c r="F779" s="18" t="n"/>
      <c r="G779" s="18" t="n"/>
      <c r="H779" s="18" t="n"/>
      <c r="I779" s="18" t="n"/>
      <c r="J779" s="37" t="n"/>
      <c r="K779" s="37" t="n"/>
      <c r="L779" s="43">
        <f>IF(C779="","",SUMIFS($J$7:J779,$C$7:C779,C779)-SUMIFS($K$7:K779,$C$7:C779,C779))</f>
        <v/>
      </c>
      <c r="N779">
        <f>IF(AND(C779&lt;&gt;"",C779='Tenant Statement'!$C$6),COUNTIF($C$7:C779,'Tenant Statement'!$C$6),"")</f>
        <v/>
      </c>
    </row>
    <row r="780">
      <c r="B780" s="41" t="n"/>
      <c r="C780" s="18" t="n"/>
      <c r="D780" s="42">
        <f>IF(C780="","",IFERROR(INDEX(TenantProperty,MATCH(C780,Tenants,0)),""))</f>
        <v/>
      </c>
      <c r="E780" s="42">
        <f>IF(C780="","",IFERROR(INDEX(TenantUnit,MATCH(C780,Tenants,0)),""))</f>
        <v/>
      </c>
      <c r="F780" s="18" t="n"/>
      <c r="G780" s="18" t="n"/>
      <c r="H780" s="18" t="n"/>
      <c r="I780" s="18" t="n"/>
      <c r="J780" s="37" t="n"/>
      <c r="K780" s="37" t="n"/>
      <c r="L780" s="43">
        <f>IF(C780="","",SUMIFS($J$7:J780,$C$7:C780,C780)-SUMIFS($K$7:K780,$C$7:C780,C780))</f>
        <v/>
      </c>
      <c r="N780">
        <f>IF(AND(C780&lt;&gt;"",C780='Tenant Statement'!$C$6),COUNTIF($C$7:C780,'Tenant Statement'!$C$6),"")</f>
        <v/>
      </c>
    </row>
    <row r="781">
      <c r="B781" s="41" t="n"/>
      <c r="C781" s="18" t="n"/>
      <c r="D781" s="42">
        <f>IF(C781="","",IFERROR(INDEX(TenantProperty,MATCH(C781,Tenants,0)),""))</f>
        <v/>
      </c>
      <c r="E781" s="42">
        <f>IF(C781="","",IFERROR(INDEX(TenantUnit,MATCH(C781,Tenants,0)),""))</f>
        <v/>
      </c>
      <c r="F781" s="18" t="n"/>
      <c r="G781" s="18" t="n"/>
      <c r="H781" s="18" t="n"/>
      <c r="I781" s="18" t="n"/>
      <c r="J781" s="37" t="n"/>
      <c r="K781" s="37" t="n"/>
      <c r="L781" s="43">
        <f>IF(C781="","",SUMIFS($J$7:J781,$C$7:C781,C781)-SUMIFS($K$7:K781,$C$7:C781,C781))</f>
        <v/>
      </c>
      <c r="N781">
        <f>IF(AND(C781&lt;&gt;"",C781='Tenant Statement'!$C$6),COUNTIF($C$7:C781,'Tenant Statement'!$C$6),"")</f>
        <v/>
      </c>
    </row>
    <row r="782">
      <c r="B782" s="41" t="n"/>
      <c r="C782" s="18" t="n"/>
      <c r="D782" s="42">
        <f>IF(C782="","",IFERROR(INDEX(TenantProperty,MATCH(C782,Tenants,0)),""))</f>
        <v/>
      </c>
      <c r="E782" s="42">
        <f>IF(C782="","",IFERROR(INDEX(TenantUnit,MATCH(C782,Tenants,0)),""))</f>
        <v/>
      </c>
      <c r="F782" s="18" t="n"/>
      <c r="G782" s="18" t="n"/>
      <c r="H782" s="18" t="n"/>
      <c r="I782" s="18" t="n"/>
      <c r="J782" s="37" t="n"/>
      <c r="K782" s="37" t="n"/>
      <c r="L782" s="43">
        <f>IF(C782="","",SUMIFS($J$7:J782,$C$7:C782,C782)-SUMIFS($K$7:K782,$C$7:C782,C782))</f>
        <v/>
      </c>
      <c r="N782">
        <f>IF(AND(C782&lt;&gt;"",C782='Tenant Statement'!$C$6),COUNTIF($C$7:C782,'Tenant Statement'!$C$6),"")</f>
        <v/>
      </c>
    </row>
    <row r="783">
      <c r="B783" s="41" t="n"/>
      <c r="C783" s="18" t="n"/>
      <c r="D783" s="42">
        <f>IF(C783="","",IFERROR(INDEX(TenantProperty,MATCH(C783,Tenants,0)),""))</f>
        <v/>
      </c>
      <c r="E783" s="42">
        <f>IF(C783="","",IFERROR(INDEX(TenantUnit,MATCH(C783,Tenants,0)),""))</f>
        <v/>
      </c>
      <c r="F783" s="18" t="n"/>
      <c r="G783" s="18" t="n"/>
      <c r="H783" s="18" t="n"/>
      <c r="I783" s="18" t="n"/>
      <c r="J783" s="37" t="n"/>
      <c r="K783" s="37" t="n"/>
      <c r="L783" s="43">
        <f>IF(C783="","",SUMIFS($J$7:J783,$C$7:C783,C783)-SUMIFS($K$7:K783,$C$7:C783,C783))</f>
        <v/>
      </c>
      <c r="N783">
        <f>IF(AND(C783&lt;&gt;"",C783='Tenant Statement'!$C$6),COUNTIF($C$7:C783,'Tenant Statement'!$C$6),"")</f>
        <v/>
      </c>
    </row>
    <row r="784">
      <c r="B784" s="41" t="n"/>
      <c r="C784" s="18" t="n"/>
      <c r="D784" s="42">
        <f>IF(C784="","",IFERROR(INDEX(TenantProperty,MATCH(C784,Tenants,0)),""))</f>
        <v/>
      </c>
      <c r="E784" s="42">
        <f>IF(C784="","",IFERROR(INDEX(TenantUnit,MATCH(C784,Tenants,0)),""))</f>
        <v/>
      </c>
      <c r="F784" s="18" t="n"/>
      <c r="G784" s="18" t="n"/>
      <c r="H784" s="18" t="n"/>
      <c r="I784" s="18" t="n"/>
      <c r="J784" s="37" t="n"/>
      <c r="K784" s="37" t="n"/>
      <c r="L784" s="43">
        <f>IF(C784="","",SUMIFS($J$7:J784,$C$7:C784,C784)-SUMIFS($K$7:K784,$C$7:C784,C784))</f>
        <v/>
      </c>
      <c r="N784">
        <f>IF(AND(C784&lt;&gt;"",C784='Tenant Statement'!$C$6),COUNTIF($C$7:C784,'Tenant Statement'!$C$6),"")</f>
        <v/>
      </c>
    </row>
    <row r="785">
      <c r="B785" s="41" t="n"/>
      <c r="C785" s="18" t="n"/>
      <c r="D785" s="42">
        <f>IF(C785="","",IFERROR(INDEX(TenantProperty,MATCH(C785,Tenants,0)),""))</f>
        <v/>
      </c>
      <c r="E785" s="42">
        <f>IF(C785="","",IFERROR(INDEX(TenantUnit,MATCH(C785,Tenants,0)),""))</f>
        <v/>
      </c>
      <c r="F785" s="18" t="n"/>
      <c r="G785" s="18" t="n"/>
      <c r="H785" s="18" t="n"/>
      <c r="I785" s="18" t="n"/>
      <c r="J785" s="37" t="n"/>
      <c r="K785" s="37" t="n"/>
      <c r="L785" s="43">
        <f>IF(C785="","",SUMIFS($J$7:J785,$C$7:C785,C785)-SUMIFS($K$7:K785,$C$7:C785,C785))</f>
        <v/>
      </c>
      <c r="N785">
        <f>IF(AND(C785&lt;&gt;"",C785='Tenant Statement'!$C$6),COUNTIF($C$7:C785,'Tenant Statement'!$C$6),"")</f>
        <v/>
      </c>
    </row>
    <row r="786">
      <c r="B786" s="41" t="n"/>
      <c r="C786" s="18" t="n"/>
      <c r="D786" s="42">
        <f>IF(C786="","",IFERROR(INDEX(TenantProperty,MATCH(C786,Tenants,0)),""))</f>
        <v/>
      </c>
      <c r="E786" s="42">
        <f>IF(C786="","",IFERROR(INDEX(TenantUnit,MATCH(C786,Tenants,0)),""))</f>
        <v/>
      </c>
      <c r="F786" s="18" t="n"/>
      <c r="G786" s="18" t="n"/>
      <c r="H786" s="18" t="n"/>
      <c r="I786" s="18" t="n"/>
      <c r="J786" s="37" t="n"/>
      <c r="K786" s="37" t="n"/>
      <c r="L786" s="43">
        <f>IF(C786="","",SUMIFS($J$7:J786,$C$7:C786,C786)-SUMIFS($K$7:K786,$C$7:C786,C786))</f>
        <v/>
      </c>
      <c r="N786">
        <f>IF(AND(C786&lt;&gt;"",C786='Tenant Statement'!$C$6),COUNTIF($C$7:C786,'Tenant Statement'!$C$6),"")</f>
        <v/>
      </c>
    </row>
    <row r="787">
      <c r="B787" s="41" t="n"/>
      <c r="C787" s="18" t="n"/>
      <c r="D787" s="42">
        <f>IF(C787="","",IFERROR(INDEX(TenantProperty,MATCH(C787,Tenants,0)),""))</f>
        <v/>
      </c>
      <c r="E787" s="42">
        <f>IF(C787="","",IFERROR(INDEX(TenantUnit,MATCH(C787,Tenants,0)),""))</f>
        <v/>
      </c>
      <c r="F787" s="18" t="n"/>
      <c r="G787" s="18" t="n"/>
      <c r="H787" s="18" t="n"/>
      <c r="I787" s="18" t="n"/>
      <c r="J787" s="37" t="n"/>
      <c r="K787" s="37" t="n"/>
      <c r="L787" s="43">
        <f>IF(C787="","",SUMIFS($J$7:J787,$C$7:C787,C787)-SUMIFS($K$7:K787,$C$7:C787,C787))</f>
        <v/>
      </c>
      <c r="N787">
        <f>IF(AND(C787&lt;&gt;"",C787='Tenant Statement'!$C$6),COUNTIF($C$7:C787,'Tenant Statement'!$C$6),"")</f>
        <v/>
      </c>
    </row>
    <row r="788">
      <c r="B788" s="41" t="n"/>
      <c r="C788" s="18" t="n"/>
      <c r="D788" s="42">
        <f>IF(C788="","",IFERROR(INDEX(TenantProperty,MATCH(C788,Tenants,0)),""))</f>
        <v/>
      </c>
      <c r="E788" s="42">
        <f>IF(C788="","",IFERROR(INDEX(TenantUnit,MATCH(C788,Tenants,0)),""))</f>
        <v/>
      </c>
      <c r="F788" s="18" t="n"/>
      <c r="G788" s="18" t="n"/>
      <c r="H788" s="18" t="n"/>
      <c r="I788" s="18" t="n"/>
      <c r="J788" s="37" t="n"/>
      <c r="K788" s="37" t="n"/>
      <c r="L788" s="43">
        <f>IF(C788="","",SUMIFS($J$7:J788,$C$7:C788,C788)-SUMIFS($K$7:K788,$C$7:C788,C788))</f>
        <v/>
      </c>
      <c r="N788">
        <f>IF(AND(C788&lt;&gt;"",C788='Tenant Statement'!$C$6),COUNTIF($C$7:C788,'Tenant Statement'!$C$6),"")</f>
        <v/>
      </c>
    </row>
    <row r="789">
      <c r="B789" s="41" t="n"/>
      <c r="C789" s="18" t="n"/>
      <c r="D789" s="42">
        <f>IF(C789="","",IFERROR(INDEX(TenantProperty,MATCH(C789,Tenants,0)),""))</f>
        <v/>
      </c>
      <c r="E789" s="42">
        <f>IF(C789="","",IFERROR(INDEX(TenantUnit,MATCH(C789,Tenants,0)),""))</f>
        <v/>
      </c>
      <c r="F789" s="18" t="n"/>
      <c r="G789" s="18" t="n"/>
      <c r="H789" s="18" t="n"/>
      <c r="I789" s="18" t="n"/>
      <c r="J789" s="37" t="n"/>
      <c r="K789" s="37" t="n"/>
      <c r="L789" s="43">
        <f>IF(C789="","",SUMIFS($J$7:J789,$C$7:C789,C789)-SUMIFS($K$7:K789,$C$7:C789,C789))</f>
        <v/>
      </c>
      <c r="N789">
        <f>IF(AND(C789&lt;&gt;"",C789='Tenant Statement'!$C$6),COUNTIF($C$7:C789,'Tenant Statement'!$C$6),"")</f>
        <v/>
      </c>
    </row>
    <row r="790">
      <c r="B790" s="41" t="n"/>
      <c r="C790" s="18" t="n"/>
      <c r="D790" s="42">
        <f>IF(C790="","",IFERROR(INDEX(TenantProperty,MATCH(C790,Tenants,0)),""))</f>
        <v/>
      </c>
      <c r="E790" s="42">
        <f>IF(C790="","",IFERROR(INDEX(TenantUnit,MATCH(C790,Tenants,0)),""))</f>
        <v/>
      </c>
      <c r="F790" s="18" t="n"/>
      <c r="G790" s="18" t="n"/>
      <c r="H790" s="18" t="n"/>
      <c r="I790" s="18" t="n"/>
      <c r="J790" s="37" t="n"/>
      <c r="K790" s="37" t="n"/>
      <c r="L790" s="43">
        <f>IF(C790="","",SUMIFS($J$7:J790,$C$7:C790,C790)-SUMIFS($K$7:K790,$C$7:C790,C790))</f>
        <v/>
      </c>
      <c r="N790">
        <f>IF(AND(C790&lt;&gt;"",C790='Tenant Statement'!$C$6),COUNTIF($C$7:C790,'Tenant Statement'!$C$6),"")</f>
        <v/>
      </c>
    </row>
    <row r="791">
      <c r="B791" s="41" t="n"/>
      <c r="C791" s="18" t="n"/>
      <c r="D791" s="42">
        <f>IF(C791="","",IFERROR(INDEX(TenantProperty,MATCH(C791,Tenants,0)),""))</f>
        <v/>
      </c>
      <c r="E791" s="42">
        <f>IF(C791="","",IFERROR(INDEX(TenantUnit,MATCH(C791,Tenants,0)),""))</f>
        <v/>
      </c>
      <c r="F791" s="18" t="n"/>
      <c r="G791" s="18" t="n"/>
      <c r="H791" s="18" t="n"/>
      <c r="I791" s="18" t="n"/>
      <c r="J791" s="37" t="n"/>
      <c r="K791" s="37" t="n"/>
      <c r="L791" s="43">
        <f>IF(C791="","",SUMIFS($J$7:J791,$C$7:C791,C791)-SUMIFS($K$7:K791,$C$7:C791,C791))</f>
        <v/>
      </c>
      <c r="N791">
        <f>IF(AND(C791&lt;&gt;"",C791='Tenant Statement'!$C$6),COUNTIF($C$7:C791,'Tenant Statement'!$C$6),"")</f>
        <v/>
      </c>
    </row>
    <row r="792">
      <c r="B792" s="41" t="n"/>
      <c r="C792" s="18" t="n"/>
      <c r="D792" s="42">
        <f>IF(C792="","",IFERROR(INDEX(TenantProperty,MATCH(C792,Tenants,0)),""))</f>
        <v/>
      </c>
      <c r="E792" s="42">
        <f>IF(C792="","",IFERROR(INDEX(TenantUnit,MATCH(C792,Tenants,0)),""))</f>
        <v/>
      </c>
      <c r="F792" s="18" t="n"/>
      <c r="G792" s="18" t="n"/>
      <c r="H792" s="18" t="n"/>
      <c r="I792" s="18" t="n"/>
      <c r="J792" s="37" t="n"/>
      <c r="K792" s="37" t="n"/>
      <c r="L792" s="43">
        <f>IF(C792="","",SUMIFS($J$7:J792,$C$7:C792,C792)-SUMIFS($K$7:K792,$C$7:C792,C792))</f>
        <v/>
      </c>
      <c r="N792">
        <f>IF(AND(C792&lt;&gt;"",C792='Tenant Statement'!$C$6),COUNTIF($C$7:C792,'Tenant Statement'!$C$6),"")</f>
        <v/>
      </c>
    </row>
    <row r="793">
      <c r="B793" s="41" t="n"/>
      <c r="C793" s="18" t="n"/>
      <c r="D793" s="42">
        <f>IF(C793="","",IFERROR(INDEX(TenantProperty,MATCH(C793,Tenants,0)),""))</f>
        <v/>
      </c>
      <c r="E793" s="42">
        <f>IF(C793="","",IFERROR(INDEX(TenantUnit,MATCH(C793,Tenants,0)),""))</f>
        <v/>
      </c>
      <c r="F793" s="18" t="n"/>
      <c r="G793" s="18" t="n"/>
      <c r="H793" s="18" t="n"/>
      <c r="I793" s="18" t="n"/>
      <c r="J793" s="37" t="n"/>
      <c r="K793" s="37" t="n"/>
      <c r="L793" s="43">
        <f>IF(C793="","",SUMIFS($J$7:J793,$C$7:C793,C793)-SUMIFS($K$7:K793,$C$7:C793,C793))</f>
        <v/>
      </c>
      <c r="N793">
        <f>IF(AND(C793&lt;&gt;"",C793='Tenant Statement'!$C$6),COUNTIF($C$7:C793,'Tenant Statement'!$C$6),"")</f>
        <v/>
      </c>
    </row>
    <row r="794">
      <c r="B794" s="41" t="n"/>
      <c r="C794" s="18" t="n"/>
      <c r="D794" s="42">
        <f>IF(C794="","",IFERROR(INDEX(TenantProperty,MATCH(C794,Tenants,0)),""))</f>
        <v/>
      </c>
      <c r="E794" s="42">
        <f>IF(C794="","",IFERROR(INDEX(TenantUnit,MATCH(C794,Tenants,0)),""))</f>
        <v/>
      </c>
      <c r="F794" s="18" t="n"/>
      <c r="G794" s="18" t="n"/>
      <c r="H794" s="18" t="n"/>
      <c r="I794" s="18" t="n"/>
      <c r="J794" s="37" t="n"/>
      <c r="K794" s="37" t="n"/>
      <c r="L794" s="43">
        <f>IF(C794="","",SUMIFS($J$7:J794,$C$7:C794,C794)-SUMIFS($K$7:K794,$C$7:C794,C794))</f>
        <v/>
      </c>
      <c r="N794">
        <f>IF(AND(C794&lt;&gt;"",C794='Tenant Statement'!$C$6),COUNTIF($C$7:C794,'Tenant Statement'!$C$6),"")</f>
        <v/>
      </c>
    </row>
    <row r="795">
      <c r="B795" s="41" t="n"/>
      <c r="C795" s="18" t="n"/>
      <c r="D795" s="42">
        <f>IF(C795="","",IFERROR(INDEX(TenantProperty,MATCH(C795,Tenants,0)),""))</f>
        <v/>
      </c>
      <c r="E795" s="42">
        <f>IF(C795="","",IFERROR(INDEX(TenantUnit,MATCH(C795,Tenants,0)),""))</f>
        <v/>
      </c>
      <c r="F795" s="18" t="n"/>
      <c r="G795" s="18" t="n"/>
      <c r="H795" s="18" t="n"/>
      <c r="I795" s="18" t="n"/>
      <c r="J795" s="37" t="n"/>
      <c r="K795" s="37" t="n"/>
      <c r="L795" s="43">
        <f>IF(C795="","",SUMIFS($J$7:J795,$C$7:C795,C795)-SUMIFS($K$7:K795,$C$7:C795,C795))</f>
        <v/>
      </c>
      <c r="N795">
        <f>IF(AND(C795&lt;&gt;"",C795='Tenant Statement'!$C$6),COUNTIF($C$7:C795,'Tenant Statement'!$C$6),"")</f>
        <v/>
      </c>
    </row>
    <row r="796">
      <c r="B796" s="41" t="n"/>
      <c r="C796" s="18" t="n"/>
      <c r="D796" s="42">
        <f>IF(C796="","",IFERROR(INDEX(TenantProperty,MATCH(C796,Tenants,0)),""))</f>
        <v/>
      </c>
      <c r="E796" s="42">
        <f>IF(C796="","",IFERROR(INDEX(TenantUnit,MATCH(C796,Tenants,0)),""))</f>
        <v/>
      </c>
      <c r="F796" s="18" t="n"/>
      <c r="G796" s="18" t="n"/>
      <c r="H796" s="18" t="n"/>
      <c r="I796" s="18" t="n"/>
      <c r="J796" s="37" t="n"/>
      <c r="K796" s="37" t="n"/>
      <c r="L796" s="43">
        <f>IF(C796="","",SUMIFS($J$7:J796,$C$7:C796,C796)-SUMIFS($K$7:K796,$C$7:C796,C796))</f>
        <v/>
      </c>
      <c r="N796">
        <f>IF(AND(C796&lt;&gt;"",C796='Tenant Statement'!$C$6),COUNTIF($C$7:C796,'Tenant Statement'!$C$6),"")</f>
        <v/>
      </c>
    </row>
    <row r="797">
      <c r="B797" s="41" t="n"/>
      <c r="C797" s="18" t="n"/>
      <c r="D797" s="42">
        <f>IF(C797="","",IFERROR(INDEX(TenantProperty,MATCH(C797,Tenants,0)),""))</f>
        <v/>
      </c>
      <c r="E797" s="42">
        <f>IF(C797="","",IFERROR(INDEX(TenantUnit,MATCH(C797,Tenants,0)),""))</f>
        <v/>
      </c>
      <c r="F797" s="18" t="n"/>
      <c r="G797" s="18" t="n"/>
      <c r="H797" s="18" t="n"/>
      <c r="I797" s="18" t="n"/>
      <c r="J797" s="37" t="n"/>
      <c r="K797" s="37" t="n"/>
      <c r="L797" s="43">
        <f>IF(C797="","",SUMIFS($J$7:J797,$C$7:C797,C797)-SUMIFS($K$7:K797,$C$7:C797,C797))</f>
        <v/>
      </c>
      <c r="N797">
        <f>IF(AND(C797&lt;&gt;"",C797='Tenant Statement'!$C$6),COUNTIF($C$7:C797,'Tenant Statement'!$C$6),"")</f>
        <v/>
      </c>
    </row>
    <row r="798">
      <c r="B798" s="41" t="n"/>
      <c r="C798" s="18" t="n"/>
      <c r="D798" s="42">
        <f>IF(C798="","",IFERROR(INDEX(TenantProperty,MATCH(C798,Tenants,0)),""))</f>
        <v/>
      </c>
      <c r="E798" s="42">
        <f>IF(C798="","",IFERROR(INDEX(TenantUnit,MATCH(C798,Tenants,0)),""))</f>
        <v/>
      </c>
      <c r="F798" s="18" t="n"/>
      <c r="G798" s="18" t="n"/>
      <c r="H798" s="18" t="n"/>
      <c r="I798" s="18" t="n"/>
      <c r="J798" s="37" t="n"/>
      <c r="K798" s="37" t="n"/>
      <c r="L798" s="43">
        <f>IF(C798="","",SUMIFS($J$7:J798,$C$7:C798,C798)-SUMIFS($K$7:K798,$C$7:C798,C798))</f>
        <v/>
      </c>
      <c r="N798">
        <f>IF(AND(C798&lt;&gt;"",C798='Tenant Statement'!$C$6),COUNTIF($C$7:C798,'Tenant Statement'!$C$6),"")</f>
        <v/>
      </c>
    </row>
    <row r="799">
      <c r="B799" s="41" t="n"/>
      <c r="C799" s="18" t="n"/>
      <c r="D799" s="42">
        <f>IF(C799="","",IFERROR(INDEX(TenantProperty,MATCH(C799,Tenants,0)),""))</f>
        <v/>
      </c>
      <c r="E799" s="42">
        <f>IF(C799="","",IFERROR(INDEX(TenantUnit,MATCH(C799,Tenants,0)),""))</f>
        <v/>
      </c>
      <c r="F799" s="18" t="n"/>
      <c r="G799" s="18" t="n"/>
      <c r="H799" s="18" t="n"/>
      <c r="I799" s="18" t="n"/>
      <c r="J799" s="37" t="n"/>
      <c r="K799" s="37" t="n"/>
      <c r="L799" s="43">
        <f>IF(C799="","",SUMIFS($J$7:J799,$C$7:C799,C799)-SUMIFS($K$7:K799,$C$7:C799,C799))</f>
        <v/>
      </c>
      <c r="N799">
        <f>IF(AND(C799&lt;&gt;"",C799='Tenant Statement'!$C$6),COUNTIF($C$7:C799,'Tenant Statement'!$C$6),"")</f>
        <v/>
      </c>
    </row>
    <row r="800">
      <c r="B800" s="41" t="n"/>
      <c r="C800" s="18" t="n"/>
      <c r="D800" s="42">
        <f>IF(C800="","",IFERROR(INDEX(TenantProperty,MATCH(C800,Tenants,0)),""))</f>
        <v/>
      </c>
      <c r="E800" s="42">
        <f>IF(C800="","",IFERROR(INDEX(TenantUnit,MATCH(C800,Tenants,0)),""))</f>
        <v/>
      </c>
      <c r="F800" s="18" t="n"/>
      <c r="G800" s="18" t="n"/>
      <c r="H800" s="18" t="n"/>
      <c r="I800" s="18" t="n"/>
      <c r="J800" s="37" t="n"/>
      <c r="K800" s="37" t="n"/>
      <c r="L800" s="43">
        <f>IF(C800="","",SUMIFS($J$7:J800,$C$7:C800,C800)-SUMIFS($K$7:K800,$C$7:C800,C800))</f>
        <v/>
      </c>
      <c r="N800">
        <f>IF(AND(C800&lt;&gt;"",C800='Tenant Statement'!$C$6),COUNTIF($C$7:C800,'Tenant Statement'!$C$6),"")</f>
        <v/>
      </c>
    </row>
    <row r="801">
      <c r="B801" s="41" t="n"/>
      <c r="C801" s="18" t="n"/>
      <c r="D801" s="42">
        <f>IF(C801="","",IFERROR(INDEX(TenantProperty,MATCH(C801,Tenants,0)),""))</f>
        <v/>
      </c>
      <c r="E801" s="42">
        <f>IF(C801="","",IFERROR(INDEX(TenantUnit,MATCH(C801,Tenants,0)),""))</f>
        <v/>
      </c>
      <c r="F801" s="18" t="n"/>
      <c r="G801" s="18" t="n"/>
      <c r="H801" s="18" t="n"/>
      <c r="I801" s="18" t="n"/>
      <c r="J801" s="37" t="n"/>
      <c r="K801" s="37" t="n"/>
      <c r="L801" s="43">
        <f>IF(C801="","",SUMIFS($J$7:J801,$C$7:C801,C801)-SUMIFS($K$7:K801,$C$7:C801,C801))</f>
        <v/>
      </c>
      <c r="N801">
        <f>IF(AND(C801&lt;&gt;"",C801='Tenant Statement'!$C$6),COUNTIF($C$7:C801,'Tenant Statement'!$C$6),"")</f>
        <v/>
      </c>
    </row>
    <row r="802">
      <c r="B802" s="41" t="n"/>
      <c r="C802" s="18" t="n"/>
      <c r="D802" s="42">
        <f>IF(C802="","",IFERROR(INDEX(TenantProperty,MATCH(C802,Tenants,0)),""))</f>
        <v/>
      </c>
      <c r="E802" s="42">
        <f>IF(C802="","",IFERROR(INDEX(TenantUnit,MATCH(C802,Tenants,0)),""))</f>
        <v/>
      </c>
      <c r="F802" s="18" t="n"/>
      <c r="G802" s="18" t="n"/>
      <c r="H802" s="18" t="n"/>
      <c r="I802" s="18" t="n"/>
      <c r="J802" s="37" t="n"/>
      <c r="K802" s="37" t="n"/>
      <c r="L802" s="43">
        <f>IF(C802="","",SUMIFS($J$7:J802,$C$7:C802,C802)-SUMIFS($K$7:K802,$C$7:C802,C802))</f>
        <v/>
      </c>
      <c r="N802">
        <f>IF(AND(C802&lt;&gt;"",C802='Tenant Statement'!$C$6),COUNTIF($C$7:C802,'Tenant Statement'!$C$6),"")</f>
        <v/>
      </c>
    </row>
    <row r="803">
      <c r="B803" s="41" t="n"/>
      <c r="C803" s="18" t="n"/>
      <c r="D803" s="42">
        <f>IF(C803="","",IFERROR(INDEX(TenantProperty,MATCH(C803,Tenants,0)),""))</f>
        <v/>
      </c>
      <c r="E803" s="42">
        <f>IF(C803="","",IFERROR(INDEX(TenantUnit,MATCH(C803,Tenants,0)),""))</f>
        <v/>
      </c>
      <c r="F803" s="18" t="n"/>
      <c r="G803" s="18" t="n"/>
      <c r="H803" s="18" t="n"/>
      <c r="I803" s="18" t="n"/>
      <c r="J803" s="37" t="n"/>
      <c r="K803" s="37" t="n"/>
      <c r="L803" s="43">
        <f>IF(C803="","",SUMIFS($J$7:J803,$C$7:C803,C803)-SUMIFS($K$7:K803,$C$7:C803,C803))</f>
        <v/>
      </c>
      <c r="N803">
        <f>IF(AND(C803&lt;&gt;"",C803='Tenant Statement'!$C$6),COUNTIF($C$7:C803,'Tenant Statement'!$C$6),"")</f>
        <v/>
      </c>
    </row>
    <row r="804">
      <c r="B804" s="41" t="n"/>
      <c r="C804" s="18" t="n"/>
      <c r="D804" s="42">
        <f>IF(C804="","",IFERROR(INDEX(TenantProperty,MATCH(C804,Tenants,0)),""))</f>
        <v/>
      </c>
      <c r="E804" s="42">
        <f>IF(C804="","",IFERROR(INDEX(TenantUnit,MATCH(C804,Tenants,0)),""))</f>
        <v/>
      </c>
      <c r="F804" s="18" t="n"/>
      <c r="G804" s="18" t="n"/>
      <c r="H804" s="18" t="n"/>
      <c r="I804" s="18" t="n"/>
      <c r="J804" s="37" t="n"/>
      <c r="K804" s="37" t="n"/>
      <c r="L804" s="43">
        <f>IF(C804="","",SUMIFS($J$7:J804,$C$7:C804,C804)-SUMIFS($K$7:K804,$C$7:C804,C804))</f>
        <v/>
      </c>
      <c r="N804">
        <f>IF(AND(C804&lt;&gt;"",C804='Tenant Statement'!$C$6),COUNTIF($C$7:C804,'Tenant Statement'!$C$6),"")</f>
        <v/>
      </c>
    </row>
    <row r="805">
      <c r="B805" s="41" t="n"/>
      <c r="C805" s="18" t="n"/>
      <c r="D805" s="42">
        <f>IF(C805="","",IFERROR(INDEX(TenantProperty,MATCH(C805,Tenants,0)),""))</f>
        <v/>
      </c>
      <c r="E805" s="42">
        <f>IF(C805="","",IFERROR(INDEX(TenantUnit,MATCH(C805,Tenants,0)),""))</f>
        <v/>
      </c>
      <c r="F805" s="18" t="n"/>
      <c r="G805" s="18" t="n"/>
      <c r="H805" s="18" t="n"/>
      <c r="I805" s="18" t="n"/>
      <c r="J805" s="37" t="n"/>
      <c r="K805" s="37" t="n"/>
      <c r="L805" s="43">
        <f>IF(C805="","",SUMIFS($J$7:J805,$C$7:C805,C805)-SUMIFS($K$7:K805,$C$7:C805,C805))</f>
        <v/>
      </c>
      <c r="N805">
        <f>IF(AND(C805&lt;&gt;"",C805='Tenant Statement'!$C$6),COUNTIF($C$7:C805,'Tenant Statement'!$C$6),"")</f>
        <v/>
      </c>
    </row>
    <row r="806">
      <c r="B806" s="41" t="n"/>
      <c r="C806" s="18" t="n"/>
      <c r="D806" s="42">
        <f>IF(C806="","",IFERROR(INDEX(TenantProperty,MATCH(C806,Tenants,0)),""))</f>
        <v/>
      </c>
      <c r="E806" s="42">
        <f>IF(C806="","",IFERROR(INDEX(TenantUnit,MATCH(C806,Tenants,0)),""))</f>
        <v/>
      </c>
      <c r="F806" s="18" t="n"/>
      <c r="G806" s="18" t="n"/>
      <c r="H806" s="18" t="n"/>
      <c r="I806" s="18" t="n"/>
      <c r="J806" s="37" t="n"/>
      <c r="K806" s="37" t="n"/>
      <c r="L806" s="43">
        <f>IF(C806="","",SUMIFS($J$7:J806,$C$7:C806,C806)-SUMIFS($K$7:K806,$C$7:C806,C806))</f>
        <v/>
      </c>
      <c r="N806">
        <f>IF(AND(C806&lt;&gt;"",C806='Tenant Statement'!$C$6),COUNTIF($C$7:C806,'Tenant Statement'!$C$6),"")</f>
        <v/>
      </c>
    </row>
    <row r="807">
      <c r="B807" s="41" t="n"/>
      <c r="C807" s="18" t="n"/>
      <c r="D807" s="42">
        <f>IF(C807="","",IFERROR(INDEX(TenantProperty,MATCH(C807,Tenants,0)),""))</f>
        <v/>
      </c>
      <c r="E807" s="42">
        <f>IF(C807="","",IFERROR(INDEX(TenantUnit,MATCH(C807,Tenants,0)),""))</f>
        <v/>
      </c>
      <c r="F807" s="18" t="n"/>
      <c r="G807" s="18" t="n"/>
      <c r="H807" s="18" t="n"/>
      <c r="I807" s="18" t="n"/>
      <c r="J807" s="37" t="n"/>
      <c r="K807" s="37" t="n"/>
      <c r="L807" s="43">
        <f>IF(C807="","",SUMIFS($J$7:J807,$C$7:C807,C807)-SUMIFS($K$7:K807,$C$7:C807,C807))</f>
        <v/>
      </c>
      <c r="N807">
        <f>IF(AND(C807&lt;&gt;"",C807='Tenant Statement'!$C$6),COUNTIF($C$7:C807,'Tenant Statement'!$C$6),"")</f>
        <v/>
      </c>
    </row>
    <row r="808">
      <c r="B808" s="41" t="n"/>
      <c r="C808" s="18" t="n"/>
      <c r="D808" s="42">
        <f>IF(C808="","",IFERROR(INDEX(TenantProperty,MATCH(C808,Tenants,0)),""))</f>
        <v/>
      </c>
      <c r="E808" s="42">
        <f>IF(C808="","",IFERROR(INDEX(TenantUnit,MATCH(C808,Tenants,0)),""))</f>
        <v/>
      </c>
      <c r="F808" s="18" t="n"/>
      <c r="G808" s="18" t="n"/>
      <c r="H808" s="18" t="n"/>
      <c r="I808" s="18" t="n"/>
      <c r="J808" s="37" t="n"/>
      <c r="K808" s="37" t="n"/>
      <c r="L808" s="43">
        <f>IF(C808="","",SUMIFS($J$7:J808,$C$7:C808,C808)-SUMIFS($K$7:K808,$C$7:C808,C808))</f>
        <v/>
      </c>
      <c r="N808">
        <f>IF(AND(C808&lt;&gt;"",C808='Tenant Statement'!$C$6),COUNTIF($C$7:C808,'Tenant Statement'!$C$6),"")</f>
        <v/>
      </c>
    </row>
    <row r="809">
      <c r="B809" s="41" t="n"/>
      <c r="C809" s="18" t="n"/>
      <c r="D809" s="42">
        <f>IF(C809="","",IFERROR(INDEX(TenantProperty,MATCH(C809,Tenants,0)),""))</f>
        <v/>
      </c>
      <c r="E809" s="42">
        <f>IF(C809="","",IFERROR(INDEX(TenantUnit,MATCH(C809,Tenants,0)),""))</f>
        <v/>
      </c>
      <c r="F809" s="18" t="n"/>
      <c r="G809" s="18" t="n"/>
      <c r="H809" s="18" t="n"/>
      <c r="I809" s="18" t="n"/>
      <c r="J809" s="37" t="n"/>
      <c r="K809" s="37" t="n"/>
      <c r="L809" s="43">
        <f>IF(C809="","",SUMIFS($J$7:J809,$C$7:C809,C809)-SUMIFS($K$7:K809,$C$7:C809,C809))</f>
        <v/>
      </c>
      <c r="N809">
        <f>IF(AND(C809&lt;&gt;"",C809='Tenant Statement'!$C$6),COUNTIF($C$7:C809,'Tenant Statement'!$C$6),"")</f>
        <v/>
      </c>
    </row>
    <row r="810">
      <c r="B810" s="41" t="n"/>
      <c r="C810" s="18" t="n"/>
      <c r="D810" s="42">
        <f>IF(C810="","",IFERROR(INDEX(TenantProperty,MATCH(C810,Tenants,0)),""))</f>
        <v/>
      </c>
      <c r="E810" s="42">
        <f>IF(C810="","",IFERROR(INDEX(TenantUnit,MATCH(C810,Tenants,0)),""))</f>
        <v/>
      </c>
      <c r="F810" s="18" t="n"/>
      <c r="G810" s="18" t="n"/>
      <c r="H810" s="18" t="n"/>
      <c r="I810" s="18" t="n"/>
      <c r="J810" s="37" t="n"/>
      <c r="K810" s="37" t="n"/>
      <c r="L810" s="43">
        <f>IF(C810="","",SUMIFS($J$7:J810,$C$7:C810,C810)-SUMIFS($K$7:K810,$C$7:C810,C810))</f>
        <v/>
      </c>
      <c r="N810">
        <f>IF(AND(C810&lt;&gt;"",C810='Tenant Statement'!$C$6),COUNTIF($C$7:C810,'Tenant Statement'!$C$6),"")</f>
        <v/>
      </c>
    </row>
    <row r="811">
      <c r="B811" s="41" t="n"/>
      <c r="C811" s="18" t="n"/>
      <c r="D811" s="42">
        <f>IF(C811="","",IFERROR(INDEX(TenantProperty,MATCH(C811,Tenants,0)),""))</f>
        <v/>
      </c>
      <c r="E811" s="42">
        <f>IF(C811="","",IFERROR(INDEX(TenantUnit,MATCH(C811,Tenants,0)),""))</f>
        <v/>
      </c>
      <c r="F811" s="18" t="n"/>
      <c r="G811" s="18" t="n"/>
      <c r="H811" s="18" t="n"/>
      <c r="I811" s="18" t="n"/>
      <c r="J811" s="37" t="n"/>
      <c r="K811" s="37" t="n"/>
      <c r="L811" s="43">
        <f>IF(C811="","",SUMIFS($J$7:J811,$C$7:C811,C811)-SUMIFS($K$7:K811,$C$7:C811,C811))</f>
        <v/>
      </c>
      <c r="N811">
        <f>IF(AND(C811&lt;&gt;"",C811='Tenant Statement'!$C$6),COUNTIF($C$7:C811,'Tenant Statement'!$C$6),"")</f>
        <v/>
      </c>
    </row>
    <row r="812">
      <c r="B812" s="41" t="n"/>
      <c r="C812" s="18" t="n"/>
      <c r="D812" s="42">
        <f>IF(C812="","",IFERROR(INDEX(TenantProperty,MATCH(C812,Tenants,0)),""))</f>
        <v/>
      </c>
      <c r="E812" s="42">
        <f>IF(C812="","",IFERROR(INDEX(TenantUnit,MATCH(C812,Tenants,0)),""))</f>
        <v/>
      </c>
      <c r="F812" s="18" t="n"/>
      <c r="G812" s="18" t="n"/>
      <c r="H812" s="18" t="n"/>
      <c r="I812" s="18" t="n"/>
      <c r="J812" s="37" t="n"/>
      <c r="K812" s="37" t="n"/>
      <c r="L812" s="43">
        <f>IF(C812="","",SUMIFS($J$7:J812,$C$7:C812,C812)-SUMIFS($K$7:K812,$C$7:C812,C812))</f>
        <v/>
      </c>
      <c r="N812">
        <f>IF(AND(C812&lt;&gt;"",C812='Tenant Statement'!$C$6),COUNTIF($C$7:C812,'Tenant Statement'!$C$6),"")</f>
        <v/>
      </c>
    </row>
    <row r="813">
      <c r="B813" s="41" t="n"/>
      <c r="C813" s="18" t="n"/>
      <c r="D813" s="42">
        <f>IF(C813="","",IFERROR(INDEX(TenantProperty,MATCH(C813,Tenants,0)),""))</f>
        <v/>
      </c>
      <c r="E813" s="42">
        <f>IF(C813="","",IFERROR(INDEX(TenantUnit,MATCH(C813,Tenants,0)),""))</f>
        <v/>
      </c>
      <c r="F813" s="18" t="n"/>
      <c r="G813" s="18" t="n"/>
      <c r="H813" s="18" t="n"/>
      <c r="I813" s="18" t="n"/>
      <c r="J813" s="37" t="n"/>
      <c r="K813" s="37" t="n"/>
      <c r="L813" s="43">
        <f>IF(C813="","",SUMIFS($J$7:J813,$C$7:C813,C813)-SUMIFS($K$7:K813,$C$7:C813,C813))</f>
        <v/>
      </c>
      <c r="N813">
        <f>IF(AND(C813&lt;&gt;"",C813='Tenant Statement'!$C$6),COUNTIF($C$7:C813,'Tenant Statement'!$C$6),"")</f>
        <v/>
      </c>
    </row>
    <row r="814">
      <c r="B814" s="41" t="n"/>
      <c r="C814" s="18" t="n"/>
      <c r="D814" s="42">
        <f>IF(C814="","",IFERROR(INDEX(TenantProperty,MATCH(C814,Tenants,0)),""))</f>
        <v/>
      </c>
      <c r="E814" s="42">
        <f>IF(C814="","",IFERROR(INDEX(TenantUnit,MATCH(C814,Tenants,0)),""))</f>
        <v/>
      </c>
      <c r="F814" s="18" t="n"/>
      <c r="G814" s="18" t="n"/>
      <c r="H814" s="18" t="n"/>
      <c r="I814" s="18" t="n"/>
      <c r="J814" s="37" t="n"/>
      <c r="K814" s="37" t="n"/>
      <c r="L814" s="43">
        <f>IF(C814="","",SUMIFS($J$7:J814,$C$7:C814,C814)-SUMIFS($K$7:K814,$C$7:C814,C814))</f>
        <v/>
      </c>
      <c r="N814">
        <f>IF(AND(C814&lt;&gt;"",C814='Tenant Statement'!$C$6),COUNTIF($C$7:C814,'Tenant Statement'!$C$6),"")</f>
        <v/>
      </c>
    </row>
    <row r="815">
      <c r="B815" s="41" t="n"/>
      <c r="C815" s="18" t="n"/>
      <c r="D815" s="42">
        <f>IF(C815="","",IFERROR(INDEX(TenantProperty,MATCH(C815,Tenants,0)),""))</f>
        <v/>
      </c>
      <c r="E815" s="42">
        <f>IF(C815="","",IFERROR(INDEX(TenantUnit,MATCH(C815,Tenants,0)),""))</f>
        <v/>
      </c>
      <c r="F815" s="18" t="n"/>
      <c r="G815" s="18" t="n"/>
      <c r="H815" s="18" t="n"/>
      <c r="I815" s="18" t="n"/>
      <c r="J815" s="37" t="n"/>
      <c r="K815" s="37" t="n"/>
      <c r="L815" s="43">
        <f>IF(C815="","",SUMIFS($J$7:J815,$C$7:C815,C815)-SUMIFS($K$7:K815,$C$7:C815,C815))</f>
        <v/>
      </c>
      <c r="N815">
        <f>IF(AND(C815&lt;&gt;"",C815='Tenant Statement'!$C$6),COUNTIF($C$7:C815,'Tenant Statement'!$C$6),"")</f>
        <v/>
      </c>
    </row>
    <row r="816">
      <c r="B816" s="41" t="n"/>
      <c r="C816" s="18" t="n"/>
      <c r="D816" s="42">
        <f>IF(C816="","",IFERROR(INDEX(TenantProperty,MATCH(C816,Tenants,0)),""))</f>
        <v/>
      </c>
      <c r="E816" s="42">
        <f>IF(C816="","",IFERROR(INDEX(TenantUnit,MATCH(C816,Tenants,0)),""))</f>
        <v/>
      </c>
      <c r="F816" s="18" t="n"/>
      <c r="G816" s="18" t="n"/>
      <c r="H816" s="18" t="n"/>
      <c r="I816" s="18" t="n"/>
      <c r="J816" s="37" t="n"/>
      <c r="K816" s="37" t="n"/>
      <c r="L816" s="43">
        <f>IF(C816="","",SUMIFS($J$7:J816,$C$7:C816,C816)-SUMIFS($K$7:K816,$C$7:C816,C816))</f>
        <v/>
      </c>
      <c r="N816">
        <f>IF(AND(C816&lt;&gt;"",C816='Tenant Statement'!$C$6),COUNTIF($C$7:C816,'Tenant Statement'!$C$6),"")</f>
        <v/>
      </c>
    </row>
    <row r="817">
      <c r="B817" s="41" t="n"/>
      <c r="C817" s="18" t="n"/>
      <c r="D817" s="42">
        <f>IF(C817="","",IFERROR(INDEX(TenantProperty,MATCH(C817,Tenants,0)),""))</f>
        <v/>
      </c>
      <c r="E817" s="42">
        <f>IF(C817="","",IFERROR(INDEX(TenantUnit,MATCH(C817,Tenants,0)),""))</f>
        <v/>
      </c>
      <c r="F817" s="18" t="n"/>
      <c r="G817" s="18" t="n"/>
      <c r="H817" s="18" t="n"/>
      <c r="I817" s="18" t="n"/>
      <c r="J817" s="37" t="n"/>
      <c r="K817" s="37" t="n"/>
      <c r="L817" s="43">
        <f>IF(C817="","",SUMIFS($J$7:J817,$C$7:C817,C817)-SUMIFS($K$7:K817,$C$7:C817,C817))</f>
        <v/>
      </c>
      <c r="N817">
        <f>IF(AND(C817&lt;&gt;"",C817='Tenant Statement'!$C$6),COUNTIF($C$7:C817,'Tenant Statement'!$C$6),"")</f>
        <v/>
      </c>
    </row>
    <row r="818">
      <c r="B818" s="41" t="n"/>
      <c r="C818" s="18" t="n"/>
      <c r="D818" s="42">
        <f>IF(C818="","",IFERROR(INDEX(TenantProperty,MATCH(C818,Tenants,0)),""))</f>
        <v/>
      </c>
      <c r="E818" s="42">
        <f>IF(C818="","",IFERROR(INDEX(TenantUnit,MATCH(C818,Tenants,0)),""))</f>
        <v/>
      </c>
      <c r="F818" s="18" t="n"/>
      <c r="G818" s="18" t="n"/>
      <c r="H818" s="18" t="n"/>
      <c r="I818" s="18" t="n"/>
      <c r="J818" s="37" t="n"/>
      <c r="K818" s="37" t="n"/>
      <c r="L818" s="43">
        <f>IF(C818="","",SUMIFS($J$7:J818,$C$7:C818,C818)-SUMIFS($K$7:K818,$C$7:C818,C818))</f>
        <v/>
      </c>
      <c r="N818">
        <f>IF(AND(C818&lt;&gt;"",C818='Tenant Statement'!$C$6),COUNTIF($C$7:C818,'Tenant Statement'!$C$6),"")</f>
        <v/>
      </c>
    </row>
    <row r="819">
      <c r="B819" s="41" t="n"/>
      <c r="C819" s="18" t="n"/>
      <c r="D819" s="42">
        <f>IF(C819="","",IFERROR(INDEX(TenantProperty,MATCH(C819,Tenants,0)),""))</f>
        <v/>
      </c>
      <c r="E819" s="42">
        <f>IF(C819="","",IFERROR(INDEX(TenantUnit,MATCH(C819,Tenants,0)),""))</f>
        <v/>
      </c>
      <c r="F819" s="18" t="n"/>
      <c r="G819" s="18" t="n"/>
      <c r="H819" s="18" t="n"/>
      <c r="I819" s="18" t="n"/>
      <c r="J819" s="37" t="n"/>
      <c r="K819" s="37" t="n"/>
      <c r="L819" s="43">
        <f>IF(C819="","",SUMIFS($J$7:J819,$C$7:C819,C819)-SUMIFS($K$7:K819,$C$7:C819,C819))</f>
        <v/>
      </c>
      <c r="N819">
        <f>IF(AND(C819&lt;&gt;"",C819='Tenant Statement'!$C$6),COUNTIF($C$7:C819,'Tenant Statement'!$C$6),"")</f>
        <v/>
      </c>
    </row>
    <row r="820">
      <c r="B820" s="41" t="n"/>
      <c r="C820" s="18" t="n"/>
      <c r="D820" s="42">
        <f>IF(C820="","",IFERROR(INDEX(TenantProperty,MATCH(C820,Tenants,0)),""))</f>
        <v/>
      </c>
      <c r="E820" s="42">
        <f>IF(C820="","",IFERROR(INDEX(TenantUnit,MATCH(C820,Tenants,0)),""))</f>
        <v/>
      </c>
      <c r="F820" s="18" t="n"/>
      <c r="G820" s="18" t="n"/>
      <c r="H820" s="18" t="n"/>
      <c r="I820" s="18" t="n"/>
      <c r="J820" s="37" t="n"/>
      <c r="K820" s="37" t="n"/>
      <c r="L820" s="43">
        <f>IF(C820="","",SUMIFS($J$7:J820,$C$7:C820,C820)-SUMIFS($K$7:K820,$C$7:C820,C820))</f>
        <v/>
      </c>
      <c r="N820">
        <f>IF(AND(C820&lt;&gt;"",C820='Tenant Statement'!$C$6),COUNTIF($C$7:C820,'Tenant Statement'!$C$6),"")</f>
        <v/>
      </c>
    </row>
    <row r="821">
      <c r="B821" s="41" t="n"/>
      <c r="C821" s="18" t="n"/>
      <c r="D821" s="42">
        <f>IF(C821="","",IFERROR(INDEX(TenantProperty,MATCH(C821,Tenants,0)),""))</f>
        <v/>
      </c>
      <c r="E821" s="42">
        <f>IF(C821="","",IFERROR(INDEX(TenantUnit,MATCH(C821,Tenants,0)),""))</f>
        <v/>
      </c>
      <c r="F821" s="18" t="n"/>
      <c r="G821" s="18" t="n"/>
      <c r="H821" s="18" t="n"/>
      <c r="I821" s="18" t="n"/>
      <c r="J821" s="37" t="n"/>
      <c r="K821" s="37" t="n"/>
      <c r="L821" s="43">
        <f>IF(C821="","",SUMIFS($J$7:J821,$C$7:C821,C821)-SUMIFS($K$7:K821,$C$7:C821,C821))</f>
        <v/>
      </c>
      <c r="N821">
        <f>IF(AND(C821&lt;&gt;"",C821='Tenant Statement'!$C$6),COUNTIF($C$7:C821,'Tenant Statement'!$C$6),"")</f>
        <v/>
      </c>
    </row>
    <row r="822">
      <c r="B822" s="41" t="n"/>
      <c r="C822" s="18" t="n"/>
      <c r="D822" s="42">
        <f>IF(C822="","",IFERROR(INDEX(TenantProperty,MATCH(C822,Tenants,0)),""))</f>
        <v/>
      </c>
      <c r="E822" s="42">
        <f>IF(C822="","",IFERROR(INDEX(TenantUnit,MATCH(C822,Tenants,0)),""))</f>
        <v/>
      </c>
      <c r="F822" s="18" t="n"/>
      <c r="G822" s="18" t="n"/>
      <c r="H822" s="18" t="n"/>
      <c r="I822" s="18" t="n"/>
      <c r="J822" s="37" t="n"/>
      <c r="K822" s="37" t="n"/>
      <c r="L822" s="43">
        <f>IF(C822="","",SUMIFS($J$7:J822,$C$7:C822,C822)-SUMIFS($K$7:K822,$C$7:C822,C822))</f>
        <v/>
      </c>
      <c r="N822">
        <f>IF(AND(C822&lt;&gt;"",C822='Tenant Statement'!$C$6),COUNTIF($C$7:C822,'Tenant Statement'!$C$6),"")</f>
        <v/>
      </c>
    </row>
    <row r="823">
      <c r="B823" s="41" t="n"/>
      <c r="C823" s="18" t="n"/>
      <c r="D823" s="42">
        <f>IF(C823="","",IFERROR(INDEX(TenantProperty,MATCH(C823,Tenants,0)),""))</f>
        <v/>
      </c>
      <c r="E823" s="42">
        <f>IF(C823="","",IFERROR(INDEX(TenantUnit,MATCH(C823,Tenants,0)),""))</f>
        <v/>
      </c>
      <c r="F823" s="18" t="n"/>
      <c r="G823" s="18" t="n"/>
      <c r="H823" s="18" t="n"/>
      <c r="I823" s="18" t="n"/>
      <c r="J823" s="37" t="n"/>
      <c r="K823" s="37" t="n"/>
      <c r="L823" s="43">
        <f>IF(C823="","",SUMIFS($J$7:J823,$C$7:C823,C823)-SUMIFS($K$7:K823,$C$7:C823,C823))</f>
        <v/>
      </c>
      <c r="N823">
        <f>IF(AND(C823&lt;&gt;"",C823='Tenant Statement'!$C$6),COUNTIF($C$7:C823,'Tenant Statement'!$C$6),"")</f>
        <v/>
      </c>
    </row>
    <row r="824">
      <c r="B824" s="41" t="n"/>
      <c r="C824" s="18" t="n"/>
      <c r="D824" s="42">
        <f>IF(C824="","",IFERROR(INDEX(TenantProperty,MATCH(C824,Tenants,0)),""))</f>
        <v/>
      </c>
      <c r="E824" s="42">
        <f>IF(C824="","",IFERROR(INDEX(TenantUnit,MATCH(C824,Tenants,0)),""))</f>
        <v/>
      </c>
      <c r="F824" s="18" t="n"/>
      <c r="G824" s="18" t="n"/>
      <c r="H824" s="18" t="n"/>
      <c r="I824" s="18" t="n"/>
      <c r="J824" s="37" t="n"/>
      <c r="K824" s="37" t="n"/>
      <c r="L824" s="43">
        <f>IF(C824="","",SUMIFS($J$7:J824,$C$7:C824,C824)-SUMIFS($K$7:K824,$C$7:C824,C824))</f>
        <v/>
      </c>
      <c r="N824">
        <f>IF(AND(C824&lt;&gt;"",C824='Tenant Statement'!$C$6),COUNTIF($C$7:C824,'Tenant Statement'!$C$6),"")</f>
        <v/>
      </c>
    </row>
    <row r="825">
      <c r="B825" s="41" t="n"/>
      <c r="C825" s="18" t="n"/>
      <c r="D825" s="42">
        <f>IF(C825="","",IFERROR(INDEX(TenantProperty,MATCH(C825,Tenants,0)),""))</f>
        <v/>
      </c>
      <c r="E825" s="42">
        <f>IF(C825="","",IFERROR(INDEX(TenantUnit,MATCH(C825,Tenants,0)),""))</f>
        <v/>
      </c>
      <c r="F825" s="18" t="n"/>
      <c r="G825" s="18" t="n"/>
      <c r="H825" s="18" t="n"/>
      <c r="I825" s="18" t="n"/>
      <c r="J825" s="37" t="n"/>
      <c r="K825" s="37" t="n"/>
      <c r="L825" s="43">
        <f>IF(C825="","",SUMIFS($J$7:J825,$C$7:C825,C825)-SUMIFS($K$7:K825,$C$7:C825,C825))</f>
        <v/>
      </c>
      <c r="N825">
        <f>IF(AND(C825&lt;&gt;"",C825='Tenant Statement'!$C$6),COUNTIF($C$7:C825,'Tenant Statement'!$C$6),"")</f>
        <v/>
      </c>
    </row>
    <row r="826">
      <c r="B826" s="41" t="n"/>
      <c r="C826" s="18" t="n"/>
      <c r="D826" s="42">
        <f>IF(C826="","",IFERROR(INDEX(TenantProperty,MATCH(C826,Tenants,0)),""))</f>
        <v/>
      </c>
      <c r="E826" s="42">
        <f>IF(C826="","",IFERROR(INDEX(TenantUnit,MATCH(C826,Tenants,0)),""))</f>
        <v/>
      </c>
      <c r="F826" s="18" t="n"/>
      <c r="G826" s="18" t="n"/>
      <c r="H826" s="18" t="n"/>
      <c r="I826" s="18" t="n"/>
      <c r="J826" s="37" t="n"/>
      <c r="K826" s="37" t="n"/>
      <c r="L826" s="43">
        <f>IF(C826="","",SUMIFS($J$7:J826,$C$7:C826,C826)-SUMIFS($K$7:K826,$C$7:C826,C826))</f>
        <v/>
      </c>
      <c r="N826">
        <f>IF(AND(C826&lt;&gt;"",C826='Tenant Statement'!$C$6),COUNTIF($C$7:C826,'Tenant Statement'!$C$6),"")</f>
        <v/>
      </c>
    </row>
    <row r="827">
      <c r="B827" s="41" t="n"/>
      <c r="C827" s="18" t="n"/>
      <c r="D827" s="42">
        <f>IF(C827="","",IFERROR(INDEX(TenantProperty,MATCH(C827,Tenants,0)),""))</f>
        <v/>
      </c>
      <c r="E827" s="42">
        <f>IF(C827="","",IFERROR(INDEX(TenantUnit,MATCH(C827,Tenants,0)),""))</f>
        <v/>
      </c>
      <c r="F827" s="18" t="n"/>
      <c r="G827" s="18" t="n"/>
      <c r="H827" s="18" t="n"/>
      <c r="I827" s="18" t="n"/>
      <c r="J827" s="37" t="n"/>
      <c r="K827" s="37" t="n"/>
      <c r="L827" s="43">
        <f>IF(C827="","",SUMIFS($J$7:J827,$C$7:C827,C827)-SUMIFS($K$7:K827,$C$7:C827,C827))</f>
        <v/>
      </c>
      <c r="N827">
        <f>IF(AND(C827&lt;&gt;"",C827='Tenant Statement'!$C$6),COUNTIF($C$7:C827,'Tenant Statement'!$C$6),"")</f>
        <v/>
      </c>
    </row>
    <row r="828">
      <c r="B828" s="41" t="n"/>
      <c r="C828" s="18" t="n"/>
      <c r="D828" s="42">
        <f>IF(C828="","",IFERROR(INDEX(TenantProperty,MATCH(C828,Tenants,0)),""))</f>
        <v/>
      </c>
      <c r="E828" s="42">
        <f>IF(C828="","",IFERROR(INDEX(TenantUnit,MATCH(C828,Tenants,0)),""))</f>
        <v/>
      </c>
      <c r="F828" s="18" t="n"/>
      <c r="G828" s="18" t="n"/>
      <c r="H828" s="18" t="n"/>
      <c r="I828" s="18" t="n"/>
      <c r="J828" s="37" t="n"/>
      <c r="K828" s="37" t="n"/>
      <c r="L828" s="43">
        <f>IF(C828="","",SUMIFS($J$7:J828,$C$7:C828,C828)-SUMIFS($K$7:K828,$C$7:C828,C828))</f>
        <v/>
      </c>
      <c r="N828">
        <f>IF(AND(C828&lt;&gt;"",C828='Tenant Statement'!$C$6),COUNTIF($C$7:C828,'Tenant Statement'!$C$6),"")</f>
        <v/>
      </c>
    </row>
    <row r="829">
      <c r="B829" s="41" t="n"/>
      <c r="C829" s="18" t="n"/>
      <c r="D829" s="42">
        <f>IF(C829="","",IFERROR(INDEX(TenantProperty,MATCH(C829,Tenants,0)),""))</f>
        <v/>
      </c>
      <c r="E829" s="42">
        <f>IF(C829="","",IFERROR(INDEX(TenantUnit,MATCH(C829,Tenants,0)),""))</f>
        <v/>
      </c>
      <c r="F829" s="18" t="n"/>
      <c r="G829" s="18" t="n"/>
      <c r="H829" s="18" t="n"/>
      <c r="I829" s="18" t="n"/>
      <c r="J829" s="37" t="n"/>
      <c r="K829" s="37" t="n"/>
      <c r="L829" s="43">
        <f>IF(C829="","",SUMIFS($J$7:J829,$C$7:C829,C829)-SUMIFS($K$7:K829,$C$7:C829,C829))</f>
        <v/>
      </c>
      <c r="N829">
        <f>IF(AND(C829&lt;&gt;"",C829='Tenant Statement'!$C$6),COUNTIF($C$7:C829,'Tenant Statement'!$C$6),"")</f>
        <v/>
      </c>
    </row>
    <row r="830">
      <c r="B830" s="41" t="n"/>
      <c r="C830" s="18" t="n"/>
      <c r="D830" s="42">
        <f>IF(C830="","",IFERROR(INDEX(TenantProperty,MATCH(C830,Tenants,0)),""))</f>
        <v/>
      </c>
      <c r="E830" s="42">
        <f>IF(C830="","",IFERROR(INDEX(TenantUnit,MATCH(C830,Tenants,0)),""))</f>
        <v/>
      </c>
      <c r="F830" s="18" t="n"/>
      <c r="G830" s="18" t="n"/>
      <c r="H830" s="18" t="n"/>
      <c r="I830" s="18" t="n"/>
      <c r="J830" s="37" t="n"/>
      <c r="K830" s="37" t="n"/>
      <c r="L830" s="43">
        <f>IF(C830="","",SUMIFS($J$7:J830,$C$7:C830,C830)-SUMIFS($K$7:K830,$C$7:C830,C830))</f>
        <v/>
      </c>
      <c r="N830">
        <f>IF(AND(C830&lt;&gt;"",C830='Tenant Statement'!$C$6),COUNTIF($C$7:C830,'Tenant Statement'!$C$6),"")</f>
        <v/>
      </c>
    </row>
    <row r="831">
      <c r="B831" s="41" t="n"/>
      <c r="C831" s="18" t="n"/>
      <c r="D831" s="42">
        <f>IF(C831="","",IFERROR(INDEX(TenantProperty,MATCH(C831,Tenants,0)),""))</f>
        <v/>
      </c>
      <c r="E831" s="42">
        <f>IF(C831="","",IFERROR(INDEX(TenantUnit,MATCH(C831,Tenants,0)),""))</f>
        <v/>
      </c>
      <c r="F831" s="18" t="n"/>
      <c r="G831" s="18" t="n"/>
      <c r="H831" s="18" t="n"/>
      <c r="I831" s="18" t="n"/>
      <c r="J831" s="37" t="n"/>
      <c r="K831" s="37" t="n"/>
      <c r="L831" s="43">
        <f>IF(C831="","",SUMIFS($J$7:J831,$C$7:C831,C831)-SUMIFS($K$7:K831,$C$7:C831,C831))</f>
        <v/>
      </c>
      <c r="N831">
        <f>IF(AND(C831&lt;&gt;"",C831='Tenant Statement'!$C$6),COUNTIF($C$7:C831,'Tenant Statement'!$C$6),"")</f>
        <v/>
      </c>
    </row>
    <row r="832">
      <c r="B832" s="41" t="n"/>
      <c r="C832" s="18" t="n"/>
      <c r="D832" s="42">
        <f>IF(C832="","",IFERROR(INDEX(TenantProperty,MATCH(C832,Tenants,0)),""))</f>
        <v/>
      </c>
      <c r="E832" s="42">
        <f>IF(C832="","",IFERROR(INDEX(TenantUnit,MATCH(C832,Tenants,0)),""))</f>
        <v/>
      </c>
      <c r="F832" s="18" t="n"/>
      <c r="G832" s="18" t="n"/>
      <c r="H832" s="18" t="n"/>
      <c r="I832" s="18" t="n"/>
      <c r="J832" s="37" t="n"/>
      <c r="K832" s="37" t="n"/>
      <c r="L832" s="43">
        <f>IF(C832="","",SUMIFS($J$7:J832,$C$7:C832,C832)-SUMIFS($K$7:K832,$C$7:C832,C832))</f>
        <v/>
      </c>
      <c r="N832">
        <f>IF(AND(C832&lt;&gt;"",C832='Tenant Statement'!$C$6),COUNTIF($C$7:C832,'Tenant Statement'!$C$6),"")</f>
        <v/>
      </c>
    </row>
    <row r="833">
      <c r="B833" s="41" t="n"/>
      <c r="C833" s="18" t="n"/>
      <c r="D833" s="42">
        <f>IF(C833="","",IFERROR(INDEX(TenantProperty,MATCH(C833,Tenants,0)),""))</f>
        <v/>
      </c>
      <c r="E833" s="42">
        <f>IF(C833="","",IFERROR(INDEX(TenantUnit,MATCH(C833,Tenants,0)),""))</f>
        <v/>
      </c>
      <c r="F833" s="18" t="n"/>
      <c r="G833" s="18" t="n"/>
      <c r="H833" s="18" t="n"/>
      <c r="I833" s="18" t="n"/>
      <c r="J833" s="37" t="n"/>
      <c r="K833" s="37" t="n"/>
      <c r="L833" s="43">
        <f>IF(C833="","",SUMIFS($J$7:J833,$C$7:C833,C833)-SUMIFS($K$7:K833,$C$7:C833,C833))</f>
        <v/>
      </c>
      <c r="N833">
        <f>IF(AND(C833&lt;&gt;"",C833='Tenant Statement'!$C$6),COUNTIF($C$7:C833,'Tenant Statement'!$C$6),"")</f>
        <v/>
      </c>
    </row>
    <row r="834">
      <c r="B834" s="41" t="n"/>
      <c r="C834" s="18" t="n"/>
      <c r="D834" s="42">
        <f>IF(C834="","",IFERROR(INDEX(TenantProperty,MATCH(C834,Tenants,0)),""))</f>
        <v/>
      </c>
      <c r="E834" s="42">
        <f>IF(C834="","",IFERROR(INDEX(TenantUnit,MATCH(C834,Tenants,0)),""))</f>
        <v/>
      </c>
      <c r="F834" s="18" t="n"/>
      <c r="G834" s="18" t="n"/>
      <c r="H834" s="18" t="n"/>
      <c r="I834" s="18" t="n"/>
      <c r="J834" s="37" t="n"/>
      <c r="K834" s="37" t="n"/>
      <c r="L834" s="43">
        <f>IF(C834="","",SUMIFS($J$7:J834,$C$7:C834,C834)-SUMIFS($K$7:K834,$C$7:C834,C834))</f>
        <v/>
      </c>
      <c r="N834">
        <f>IF(AND(C834&lt;&gt;"",C834='Tenant Statement'!$C$6),COUNTIF($C$7:C834,'Tenant Statement'!$C$6),"")</f>
        <v/>
      </c>
    </row>
    <row r="835">
      <c r="B835" s="41" t="n"/>
      <c r="C835" s="18" t="n"/>
      <c r="D835" s="42">
        <f>IF(C835="","",IFERROR(INDEX(TenantProperty,MATCH(C835,Tenants,0)),""))</f>
        <v/>
      </c>
      <c r="E835" s="42">
        <f>IF(C835="","",IFERROR(INDEX(TenantUnit,MATCH(C835,Tenants,0)),""))</f>
        <v/>
      </c>
      <c r="F835" s="18" t="n"/>
      <c r="G835" s="18" t="n"/>
      <c r="H835" s="18" t="n"/>
      <c r="I835" s="18" t="n"/>
      <c r="J835" s="37" t="n"/>
      <c r="K835" s="37" t="n"/>
      <c r="L835" s="43">
        <f>IF(C835="","",SUMIFS($J$7:J835,$C$7:C835,C835)-SUMIFS($K$7:K835,$C$7:C835,C835))</f>
        <v/>
      </c>
      <c r="N835">
        <f>IF(AND(C835&lt;&gt;"",C835='Tenant Statement'!$C$6),COUNTIF($C$7:C835,'Tenant Statement'!$C$6),"")</f>
        <v/>
      </c>
    </row>
    <row r="836">
      <c r="B836" s="41" t="n"/>
      <c r="C836" s="18" t="n"/>
      <c r="D836" s="42">
        <f>IF(C836="","",IFERROR(INDEX(TenantProperty,MATCH(C836,Tenants,0)),""))</f>
        <v/>
      </c>
      <c r="E836" s="42">
        <f>IF(C836="","",IFERROR(INDEX(TenantUnit,MATCH(C836,Tenants,0)),""))</f>
        <v/>
      </c>
      <c r="F836" s="18" t="n"/>
      <c r="G836" s="18" t="n"/>
      <c r="H836" s="18" t="n"/>
      <c r="I836" s="18" t="n"/>
      <c r="J836" s="37" t="n"/>
      <c r="K836" s="37" t="n"/>
      <c r="L836" s="43">
        <f>IF(C836="","",SUMIFS($J$7:J836,$C$7:C836,C836)-SUMIFS($K$7:K836,$C$7:C836,C836))</f>
        <v/>
      </c>
      <c r="N836">
        <f>IF(AND(C836&lt;&gt;"",C836='Tenant Statement'!$C$6),COUNTIF($C$7:C836,'Tenant Statement'!$C$6),"")</f>
        <v/>
      </c>
    </row>
    <row r="837">
      <c r="B837" s="41" t="n"/>
      <c r="C837" s="18" t="n"/>
      <c r="D837" s="42">
        <f>IF(C837="","",IFERROR(INDEX(TenantProperty,MATCH(C837,Tenants,0)),""))</f>
        <v/>
      </c>
      <c r="E837" s="42">
        <f>IF(C837="","",IFERROR(INDEX(TenantUnit,MATCH(C837,Tenants,0)),""))</f>
        <v/>
      </c>
      <c r="F837" s="18" t="n"/>
      <c r="G837" s="18" t="n"/>
      <c r="H837" s="18" t="n"/>
      <c r="I837" s="18" t="n"/>
      <c r="J837" s="37" t="n"/>
      <c r="K837" s="37" t="n"/>
      <c r="L837" s="43">
        <f>IF(C837="","",SUMIFS($J$7:J837,$C$7:C837,C837)-SUMIFS($K$7:K837,$C$7:C837,C837))</f>
        <v/>
      </c>
      <c r="N837">
        <f>IF(AND(C837&lt;&gt;"",C837='Tenant Statement'!$C$6),COUNTIF($C$7:C837,'Tenant Statement'!$C$6),"")</f>
        <v/>
      </c>
    </row>
    <row r="838">
      <c r="B838" s="41" t="n"/>
      <c r="C838" s="18" t="n"/>
      <c r="D838" s="42">
        <f>IF(C838="","",IFERROR(INDEX(TenantProperty,MATCH(C838,Tenants,0)),""))</f>
        <v/>
      </c>
      <c r="E838" s="42">
        <f>IF(C838="","",IFERROR(INDEX(TenantUnit,MATCH(C838,Tenants,0)),""))</f>
        <v/>
      </c>
      <c r="F838" s="18" t="n"/>
      <c r="G838" s="18" t="n"/>
      <c r="H838" s="18" t="n"/>
      <c r="I838" s="18" t="n"/>
      <c r="J838" s="37" t="n"/>
      <c r="K838" s="37" t="n"/>
      <c r="L838" s="43">
        <f>IF(C838="","",SUMIFS($J$7:J838,$C$7:C838,C838)-SUMIFS($K$7:K838,$C$7:C838,C838))</f>
        <v/>
      </c>
      <c r="N838">
        <f>IF(AND(C838&lt;&gt;"",C838='Tenant Statement'!$C$6),COUNTIF($C$7:C838,'Tenant Statement'!$C$6),"")</f>
        <v/>
      </c>
    </row>
    <row r="839">
      <c r="B839" s="41" t="n"/>
      <c r="C839" s="18" t="n"/>
      <c r="D839" s="42">
        <f>IF(C839="","",IFERROR(INDEX(TenantProperty,MATCH(C839,Tenants,0)),""))</f>
        <v/>
      </c>
      <c r="E839" s="42">
        <f>IF(C839="","",IFERROR(INDEX(TenantUnit,MATCH(C839,Tenants,0)),""))</f>
        <v/>
      </c>
      <c r="F839" s="18" t="n"/>
      <c r="G839" s="18" t="n"/>
      <c r="H839" s="18" t="n"/>
      <c r="I839" s="18" t="n"/>
      <c r="J839" s="37" t="n"/>
      <c r="K839" s="37" t="n"/>
      <c r="L839" s="43">
        <f>IF(C839="","",SUMIFS($J$7:J839,$C$7:C839,C839)-SUMIFS($K$7:K839,$C$7:C839,C839))</f>
        <v/>
      </c>
      <c r="N839">
        <f>IF(AND(C839&lt;&gt;"",C839='Tenant Statement'!$C$6),COUNTIF($C$7:C839,'Tenant Statement'!$C$6),"")</f>
        <v/>
      </c>
    </row>
    <row r="840">
      <c r="B840" s="41" t="n"/>
      <c r="C840" s="18" t="n"/>
      <c r="D840" s="42">
        <f>IF(C840="","",IFERROR(INDEX(TenantProperty,MATCH(C840,Tenants,0)),""))</f>
        <v/>
      </c>
      <c r="E840" s="42">
        <f>IF(C840="","",IFERROR(INDEX(TenantUnit,MATCH(C840,Tenants,0)),""))</f>
        <v/>
      </c>
      <c r="F840" s="18" t="n"/>
      <c r="G840" s="18" t="n"/>
      <c r="H840" s="18" t="n"/>
      <c r="I840" s="18" t="n"/>
      <c r="J840" s="37" t="n"/>
      <c r="K840" s="37" t="n"/>
      <c r="L840" s="43">
        <f>IF(C840="","",SUMIFS($J$7:J840,$C$7:C840,C840)-SUMIFS($K$7:K840,$C$7:C840,C840))</f>
        <v/>
      </c>
      <c r="N840">
        <f>IF(AND(C840&lt;&gt;"",C840='Tenant Statement'!$C$6),COUNTIF($C$7:C840,'Tenant Statement'!$C$6),"")</f>
        <v/>
      </c>
    </row>
    <row r="841">
      <c r="B841" s="41" t="n"/>
      <c r="C841" s="18" t="n"/>
      <c r="D841" s="42">
        <f>IF(C841="","",IFERROR(INDEX(TenantProperty,MATCH(C841,Tenants,0)),""))</f>
        <v/>
      </c>
      <c r="E841" s="42">
        <f>IF(C841="","",IFERROR(INDEX(TenantUnit,MATCH(C841,Tenants,0)),""))</f>
        <v/>
      </c>
      <c r="F841" s="18" t="n"/>
      <c r="G841" s="18" t="n"/>
      <c r="H841" s="18" t="n"/>
      <c r="I841" s="18" t="n"/>
      <c r="J841" s="37" t="n"/>
      <c r="K841" s="37" t="n"/>
      <c r="L841" s="43">
        <f>IF(C841="","",SUMIFS($J$7:J841,$C$7:C841,C841)-SUMIFS($K$7:K841,$C$7:C841,C841))</f>
        <v/>
      </c>
      <c r="N841">
        <f>IF(AND(C841&lt;&gt;"",C841='Tenant Statement'!$C$6),COUNTIF($C$7:C841,'Tenant Statement'!$C$6),"")</f>
        <v/>
      </c>
    </row>
    <row r="842">
      <c r="B842" s="41" t="n"/>
      <c r="C842" s="18" t="n"/>
      <c r="D842" s="42">
        <f>IF(C842="","",IFERROR(INDEX(TenantProperty,MATCH(C842,Tenants,0)),""))</f>
        <v/>
      </c>
      <c r="E842" s="42">
        <f>IF(C842="","",IFERROR(INDEX(TenantUnit,MATCH(C842,Tenants,0)),""))</f>
        <v/>
      </c>
      <c r="F842" s="18" t="n"/>
      <c r="G842" s="18" t="n"/>
      <c r="H842" s="18" t="n"/>
      <c r="I842" s="18" t="n"/>
      <c r="J842" s="37" t="n"/>
      <c r="K842" s="37" t="n"/>
      <c r="L842" s="43">
        <f>IF(C842="","",SUMIFS($J$7:J842,$C$7:C842,C842)-SUMIFS($K$7:K842,$C$7:C842,C842))</f>
        <v/>
      </c>
      <c r="N842">
        <f>IF(AND(C842&lt;&gt;"",C842='Tenant Statement'!$C$6),COUNTIF($C$7:C842,'Tenant Statement'!$C$6),"")</f>
        <v/>
      </c>
    </row>
    <row r="843">
      <c r="B843" s="41" t="n"/>
      <c r="C843" s="18" t="n"/>
      <c r="D843" s="42">
        <f>IF(C843="","",IFERROR(INDEX(TenantProperty,MATCH(C843,Tenants,0)),""))</f>
        <v/>
      </c>
      <c r="E843" s="42">
        <f>IF(C843="","",IFERROR(INDEX(TenantUnit,MATCH(C843,Tenants,0)),""))</f>
        <v/>
      </c>
      <c r="F843" s="18" t="n"/>
      <c r="G843" s="18" t="n"/>
      <c r="H843" s="18" t="n"/>
      <c r="I843" s="18" t="n"/>
      <c r="J843" s="37" t="n"/>
      <c r="K843" s="37" t="n"/>
      <c r="L843" s="43">
        <f>IF(C843="","",SUMIFS($J$7:J843,$C$7:C843,C843)-SUMIFS($K$7:K843,$C$7:C843,C843))</f>
        <v/>
      </c>
      <c r="N843">
        <f>IF(AND(C843&lt;&gt;"",C843='Tenant Statement'!$C$6),COUNTIF($C$7:C843,'Tenant Statement'!$C$6),"")</f>
        <v/>
      </c>
    </row>
    <row r="844">
      <c r="B844" s="41" t="n"/>
      <c r="C844" s="18" t="n"/>
      <c r="D844" s="42">
        <f>IF(C844="","",IFERROR(INDEX(TenantProperty,MATCH(C844,Tenants,0)),""))</f>
        <v/>
      </c>
      <c r="E844" s="42">
        <f>IF(C844="","",IFERROR(INDEX(TenantUnit,MATCH(C844,Tenants,0)),""))</f>
        <v/>
      </c>
      <c r="F844" s="18" t="n"/>
      <c r="G844" s="18" t="n"/>
      <c r="H844" s="18" t="n"/>
      <c r="I844" s="18" t="n"/>
      <c r="J844" s="37" t="n"/>
      <c r="K844" s="37" t="n"/>
      <c r="L844" s="43">
        <f>IF(C844="","",SUMIFS($J$7:J844,$C$7:C844,C844)-SUMIFS($K$7:K844,$C$7:C844,C844))</f>
        <v/>
      </c>
      <c r="N844">
        <f>IF(AND(C844&lt;&gt;"",C844='Tenant Statement'!$C$6),COUNTIF($C$7:C844,'Tenant Statement'!$C$6),"")</f>
        <v/>
      </c>
    </row>
    <row r="845">
      <c r="B845" s="41" t="n"/>
      <c r="C845" s="18" t="n"/>
      <c r="D845" s="42">
        <f>IF(C845="","",IFERROR(INDEX(TenantProperty,MATCH(C845,Tenants,0)),""))</f>
        <v/>
      </c>
      <c r="E845" s="42">
        <f>IF(C845="","",IFERROR(INDEX(TenantUnit,MATCH(C845,Tenants,0)),""))</f>
        <v/>
      </c>
      <c r="F845" s="18" t="n"/>
      <c r="G845" s="18" t="n"/>
      <c r="H845" s="18" t="n"/>
      <c r="I845" s="18" t="n"/>
      <c r="J845" s="37" t="n"/>
      <c r="K845" s="37" t="n"/>
      <c r="L845" s="43">
        <f>IF(C845="","",SUMIFS($J$7:J845,$C$7:C845,C845)-SUMIFS($K$7:K845,$C$7:C845,C845))</f>
        <v/>
      </c>
      <c r="N845">
        <f>IF(AND(C845&lt;&gt;"",C845='Tenant Statement'!$C$6),COUNTIF($C$7:C845,'Tenant Statement'!$C$6),"")</f>
        <v/>
      </c>
    </row>
    <row r="846">
      <c r="B846" s="41" t="n"/>
      <c r="C846" s="18" t="n"/>
      <c r="D846" s="42">
        <f>IF(C846="","",IFERROR(INDEX(TenantProperty,MATCH(C846,Tenants,0)),""))</f>
        <v/>
      </c>
      <c r="E846" s="42">
        <f>IF(C846="","",IFERROR(INDEX(TenantUnit,MATCH(C846,Tenants,0)),""))</f>
        <v/>
      </c>
      <c r="F846" s="18" t="n"/>
      <c r="G846" s="18" t="n"/>
      <c r="H846" s="18" t="n"/>
      <c r="I846" s="18" t="n"/>
      <c r="J846" s="37" t="n"/>
      <c r="K846" s="37" t="n"/>
      <c r="L846" s="43">
        <f>IF(C846="","",SUMIFS($J$7:J846,$C$7:C846,C846)-SUMIFS($K$7:K846,$C$7:C846,C846))</f>
        <v/>
      </c>
      <c r="N846">
        <f>IF(AND(C846&lt;&gt;"",C846='Tenant Statement'!$C$6),COUNTIF($C$7:C846,'Tenant Statement'!$C$6),"")</f>
        <v/>
      </c>
    </row>
    <row r="847">
      <c r="B847" s="41" t="n"/>
      <c r="C847" s="18" t="n"/>
      <c r="D847" s="42">
        <f>IF(C847="","",IFERROR(INDEX(TenantProperty,MATCH(C847,Tenants,0)),""))</f>
        <v/>
      </c>
      <c r="E847" s="42">
        <f>IF(C847="","",IFERROR(INDEX(TenantUnit,MATCH(C847,Tenants,0)),""))</f>
        <v/>
      </c>
      <c r="F847" s="18" t="n"/>
      <c r="G847" s="18" t="n"/>
      <c r="H847" s="18" t="n"/>
      <c r="I847" s="18" t="n"/>
      <c r="J847" s="37" t="n"/>
      <c r="K847" s="37" t="n"/>
      <c r="L847" s="43">
        <f>IF(C847="","",SUMIFS($J$7:J847,$C$7:C847,C847)-SUMIFS($K$7:K847,$C$7:C847,C847))</f>
        <v/>
      </c>
      <c r="N847">
        <f>IF(AND(C847&lt;&gt;"",C847='Tenant Statement'!$C$6),COUNTIF($C$7:C847,'Tenant Statement'!$C$6),"")</f>
        <v/>
      </c>
    </row>
    <row r="848">
      <c r="B848" s="41" t="n"/>
      <c r="C848" s="18" t="n"/>
      <c r="D848" s="42">
        <f>IF(C848="","",IFERROR(INDEX(TenantProperty,MATCH(C848,Tenants,0)),""))</f>
        <v/>
      </c>
      <c r="E848" s="42">
        <f>IF(C848="","",IFERROR(INDEX(TenantUnit,MATCH(C848,Tenants,0)),""))</f>
        <v/>
      </c>
      <c r="F848" s="18" t="n"/>
      <c r="G848" s="18" t="n"/>
      <c r="H848" s="18" t="n"/>
      <c r="I848" s="18" t="n"/>
      <c r="J848" s="37" t="n"/>
      <c r="K848" s="37" t="n"/>
      <c r="L848" s="43">
        <f>IF(C848="","",SUMIFS($J$7:J848,$C$7:C848,C848)-SUMIFS($K$7:K848,$C$7:C848,C848))</f>
        <v/>
      </c>
      <c r="N848">
        <f>IF(AND(C848&lt;&gt;"",C848='Tenant Statement'!$C$6),COUNTIF($C$7:C848,'Tenant Statement'!$C$6),"")</f>
        <v/>
      </c>
    </row>
    <row r="849">
      <c r="B849" s="41" t="n"/>
      <c r="C849" s="18" t="n"/>
      <c r="D849" s="42">
        <f>IF(C849="","",IFERROR(INDEX(TenantProperty,MATCH(C849,Tenants,0)),""))</f>
        <v/>
      </c>
      <c r="E849" s="42">
        <f>IF(C849="","",IFERROR(INDEX(TenantUnit,MATCH(C849,Tenants,0)),""))</f>
        <v/>
      </c>
      <c r="F849" s="18" t="n"/>
      <c r="G849" s="18" t="n"/>
      <c r="H849" s="18" t="n"/>
      <c r="I849" s="18" t="n"/>
      <c r="J849" s="37" t="n"/>
      <c r="K849" s="37" t="n"/>
      <c r="L849" s="43">
        <f>IF(C849="","",SUMIFS($J$7:J849,$C$7:C849,C849)-SUMIFS($K$7:K849,$C$7:C849,C849))</f>
        <v/>
      </c>
      <c r="N849">
        <f>IF(AND(C849&lt;&gt;"",C849='Tenant Statement'!$C$6),COUNTIF($C$7:C849,'Tenant Statement'!$C$6),"")</f>
        <v/>
      </c>
    </row>
    <row r="850">
      <c r="B850" s="41" t="n"/>
      <c r="C850" s="18" t="n"/>
      <c r="D850" s="42">
        <f>IF(C850="","",IFERROR(INDEX(TenantProperty,MATCH(C850,Tenants,0)),""))</f>
        <v/>
      </c>
      <c r="E850" s="42">
        <f>IF(C850="","",IFERROR(INDEX(TenantUnit,MATCH(C850,Tenants,0)),""))</f>
        <v/>
      </c>
      <c r="F850" s="18" t="n"/>
      <c r="G850" s="18" t="n"/>
      <c r="H850" s="18" t="n"/>
      <c r="I850" s="18" t="n"/>
      <c r="J850" s="37" t="n"/>
      <c r="K850" s="37" t="n"/>
      <c r="L850" s="43">
        <f>IF(C850="","",SUMIFS($J$7:J850,$C$7:C850,C850)-SUMIFS($K$7:K850,$C$7:C850,C850))</f>
        <v/>
      </c>
      <c r="N850">
        <f>IF(AND(C850&lt;&gt;"",C850='Tenant Statement'!$C$6),COUNTIF($C$7:C850,'Tenant Statement'!$C$6),"")</f>
        <v/>
      </c>
    </row>
    <row r="851">
      <c r="B851" s="41" t="n"/>
      <c r="C851" s="18" t="n"/>
      <c r="D851" s="42">
        <f>IF(C851="","",IFERROR(INDEX(TenantProperty,MATCH(C851,Tenants,0)),""))</f>
        <v/>
      </c>
      <c r="E851" s="42">
        <f>IF(C851="","",IFERROR(INDEX(TenantUnit,MATCH(C851,Tenants,0)),""))</f>
        <v/>
      </c>
      <c r="F851" s="18" t="n"/>
      <c r="G851" s="18" t="n"/>
      <c r="H851" s="18" t="n"/>
      <c r="I851" s="18" t="n"/>
      <c r="J851" s="37" t="n"/>
      <c r="K851" s="37" t="n"/>
      <c r="L851" s="43">
        <f>IF(C851="","",SUMIFS($J$7:J851,$C$7:C851,C851)-SUMIFS($K$7:K851,$C$7:C851,C851))</f>
        <v/>
      </c>
      <c r="N851">
        <f>IF(AND(C851&lt;&gt;"",C851='Tenant Statement'!$C$6),COUNTIF($C$7:C851,'Tenant Statement'!$C$6),"")</f>
        <v/>
      </c>
    </row>
    <row r="852">
      <c r="B852" s="41" t="n"/>
      <c r="C852" s="18" t="n"/>
      <c r="D852" s="42">
        <f>IF(C852="","",IFERROR(INDEX(TenantProperty,MATCH(C852,Tenants,0)),""))</f>
        <v/>
      </c>
      <c r="E852" s="42">
        <f>IF(C852="","",IFERROR(INDEX(TenantUnit,MATCH(C852,Tenants,0)),""))</f>
        <v/>
      </c>
      <c r="F852" s="18" t="n"/>
      <c r="G852" s="18" t="n"/>
      <c r="H852" s="18" t="n"/>
      <c r="I852" s="18" t="n"/>
      <c r="J852" s="37" t="n"/>
      <c r="K852" s="37" t="n"/>
      <c r="L852" s="43">
        <f>IF(C852="","",SUMIFS($J$7:J852,$C$7:C852,C852)-SUMIFS($K$7:K852,$C$7:C852,C852))</f>
        <v/>
      </c>
      <c r="N852">
        <f>IF(AND(C852&lt;&gt;"",C852='Tenant Statement'!$C$6),COUNTIF($C$7:C852,'Tenant Statement'!$C$6),"")</f>
        <v/>
      </c>
    </row>
    <row r="853">
      <c r="B853" s="41" t="n"/>
      <c r="C853" s="18" t="n"/>
      <c r="D853" s="42">
        <f>IF(C853="","",IFERROR(INDEX(TenantProperty,MATCH(C853,Tenants,0)),""))</f>
        <v/>
      </c>
      <c r="E853" s="42">
        <f>IF(C853="","",IFERROR(INDEX(TenantUnit,MATCH(C853,Tenants,0)),""))</f>
        <v/>
      </c>
      <c r="F853" s="18" t="n"/>
      <c r="G853" s="18" t="n"/>
      <c r="H853" s="18" t="n"/>
      <c r="I853" s="18" t="n"/>
      <c r="J853" s="37" t="n"/>
      <c r="K853" s="37" t="n"/>
      <c r="L853" s="43">
        <f>IF(C853="","",SUMIFS($J$7:J853,$C$7:C853,C853)-SUMIFS($K$7:K853,$C$7:C853,C853))</f>
        <v/>
      </c>
      <c r="N853">
        <f>IF(AND(C853&lt;&gt;"",C853='Tenant Statement'!$C$6),COUNTIF($C$7:C853,'Tenant Statement'!$C$6),"")</f>
        <v/>
      </c>
    </row>
    <row r="854">
      <c r="B854" s="41" t="n"/>
      <c r="C854" s="18" t="n"/>
      <c r="D854" s="42">
        <f>IF(C854="","",IFERROR(INDEX(TenantProperty,MATCH(C854,Tenants,0)),""))</f>
        <v/>
      </c>
      <c r="E854" s="42">
        <f>IF(C854="","",IFERROR(INDEX(TenantUnit,MATCH(C854,Tenants,0)),""))</f>
        <v/>
      </c>
      <c r="F854" s="18" t="n"/>
      <c r="G854" s="18" t="n"/>
      <c r="H854" s="18" t="n"/>
      <c r="I854" s="18" t="n"/>
      <c r="J854" s="37" t="n"/>
      <c r="K854" s="37" t="n"/>
      <c r="L854" s="43">
        <f>IF(C854="","",SUMIFS($J$7:J854,$C$7:C854,C854)-SUMIFS($K$7:K854,$C$7:C854,C854))</f>
        <v/>
      </c>
      <c r="N854">
        <f>IF(AND(C854&lt;&gt;"",C854='Tenant Statement'!$C$6),COUNTIF($C$7:C854,'Tenant Statement'!$C$6),"")</f>
        <v/>
      </c>
    </row>
    <row r="855">
      <c r="B855" s="41" t="n"/>
      <c r="C855" s="18" t="n"/>
      <c r="D855" s="42">
        <f>IF(C855="","",IFERROR(INDEX(TenantProperty,MATCH(C855,Tenants,0)),""))</f>
        <v/>
      </c>
      <c r="E855" s="42">
        <f>IF(C855="","",IFERROR(INDEX(TenantUnit,MATCH(C855,Tenants,0)),""))</f>
        <v/>
      </c>
      <c r="F855" s="18" t="n"/>
      <c r="G855" s="18" t="n"/>
      <c r="H855" s="18" t="n"/>
      <c r="I855" s="18" t="n"/>
      <c r="J855" s="37" t="n"/>
      <c r="K855" s="37" t="n"/>
      <c r="L855" s="43">
        <f>IF(C855="","",SUMIFS($J$7:J855,$C$7:C855,C855)-SUMIFS($K$7:K855,$C$7:C855,C855))</f>
        <v/>
      </c>
      <c r="N855">
        <f>IF(AND(C855&lt;&gt;"",C855='Tenant Statement'!$C$6),COUNTIF($C$7:C855,'Tenant Statement'!$C$6),"")</f>
        <v/>
      </c>
    </row>
    <row r="856">
      <c r="B856" s="41" t="n"/>
      <c r="C856" s="18" t="n"/>
      <c r="D856" s="42">
        <f>IF(C856="","",IFERROR(INDEX(TenantProperty,MATCH(C856,Tenants,0)),""))</f>
        <v/>
      </c>
      <c r="E856" s="42">
        <f>IF(C856="","",IFERROR(INDEX(TenantUnit,MATCH(C856,Tenants,0)),""))</f>
        <v/>
      </c>
      <c r="F856" s="18" t="n"/>
      <c r="G856" s="18" t="n"/>
      <c r="H856" s="18" t="n"/>
      <c r="I856" s="18" t="n"/>
      <c r="J856" s="37" t="n"/>
      <c r="K856" s="37" t="n"/>
      <c r="L856" s="43">
        <f>IF(C856="","",SUMIFS($J$7:J856,$C$7:C856,C856)-SUMIFS($K$7:K856,$C$7:C856,C856))</f>
        <v/>
      </c>
      <c r="N856">
        <f>IF(AND(C856&lt;&gt;"",C856='Tenant Statement'!$C$6),COUNTIF($C$7:C856,'Tenant Statement'!$C$6),"")</f>
        <v/>
      </c>
    </row>
    <row r="857">
      <c r="B857" s="41" t="n"/>
      <c r="C857" s="18" t="n"/>
      <c r="D857" s="42">
        <f>IF(C857="","",IFERROR(INDEX(TenantProperty,MATCH(C857,Tenants,0)),""))</f>
        <v/>
      </c>
      <c r="E857" s="42">
        <f>IF(C857="","",IFERROR(INDEX(TenantUnit,MATCH(C857,Tenants,0)),""))</f>
        <v/>
      </c>
      <c r="F857" s="18" t="n"/>
      <c r="G857" s="18" t="n"/>
      <c r="H857" s="18" t="n"/>
      <c r="I857" s="18" t="n"/>
      <c r="J857" s="37" t="n"/>
      <c r="K857" s="37" t="n"/>
      <c r="L857" s="43">
        <f>IF(C857="","",SUMIFS($J$7:J857,$C$7:C857,C857)-SUMIFS($K$7:K857,$C$7:C857,C857))</f>
        <v/>
      </c>
      <c r="N857">
        <f>IF(AND(C857&lt;&gt;"",C857='Tenant Statement'!$C$6),COUNTIF($C$7:C857,'Tenant Statement'!$C$6),"")</f>
        <v/>
      </c>
    </row>
    <row r="858">
      <c r="B858" s="41" t="n"/>
      <c r="C858" s="18" t="n"/>
      <c r="D858" s="42">
        <f>IF(C858="","",IFERROR(INDEX(TenantProperty,MATCH(C858,Tenants,0)),""))</f>
        <v/>
      </c>
      <c r="E858" s="42">
        <f>IF(C858="","",IFERROR(INDEX(TenantUnit,MATCH(C858,Tenants,0)),""))</f>
        <v/>
      </c>
      <c r="F858" s="18" t="n"/>
      <c r="G858" s="18" t="n"/>
      <c r="H858" s="18" t="n"/>
      <c r="I858" s="18" t="n"/>
      <c r="J858" s="37" t="n"/>
      <c r="K858" s="37" t="n"/>
      <c r="L858" s="43">
        <f>IF(C858="","",SUMIFS($J$7:J858,$C$7:C858,C858)-SUMIFS($K$7:K858,$C$7:C858,C858))</f>
        <v/>
      </c>
      <c r="N858">
        <f>IF(AND(C858&lt;&gt;"",C858='Tenant Statement'!$C$6),COUNTIF($C$7:C858,'Tenant Statement'!$C$6),"")</f>
        <v/>
      </c>
    </row>
    <row r="859">
      <c r="B859" s="41" t="n"/>
      <c r="C859" s="18" t="n"/>
      <c r="D859" s="42">
        <f>IF(C859="","",IFERROR(INDEX(TenantProperty,MATCH(C859,Tenants,0)),""))</f>
        <v/>
      </c>
      <c r="E859" s="42">
        <f>IF(C859="","",IFERROR(INDEX(TenantUnit,MATCH(C859,Tenants,0)),""))</f>
        <v/>
      </c>
      <c r="F859" s="18" t="n"/>
      <c r="G859" s="18" t="n"/>
      <c r="H859" s="18" t="n"/>
      <c r="I859" s="18" t="n"/>
      <c r="J859" s="37" t="n"/>
      <c r="K859" s="37" t="n"/>
      <c r="L859" s="43">
        <f>IF(C859="","",SUMIFS($J$7:J859,$C$7:C859,C859)-SUMIFS($K$7:K859,$C$7:C859,C859))</f>
        <v/>
      </c>
      <c r="N859">
        <f>IF(AND(C859&lt;&gt;"",C859='Tenant Statement'!$C$6),COUNTIF($C$7:C859,'Tenant Statement'!$C$6),"")</f>
        <v/>
      </c>
    </row>
    <row r="860">
      <c r="B860" s="41" t="n"/>
      <c r="C860" s="18" t="n"/>
      <c r="D860" s="42">
        <f>IF(C860="","",IFERROR(INDEX(TenantProperty,MATCH(C860,Tenants,0)),""))</f>
        <v/>
      </c>
      <c r="E860" s="42">
        <f>IF(C860="","",IFERROR(INDEX(TenantUnit,MATCH(C860,Tenants,0)),""))</f>
        <v/>
      </c>
      <c r="F860" s="18" t="n"/>
      <c r="G860" s="18" t="n"/>
      <c r="H860" s="18" t="n"/>
      <c r="I860" s="18" t="n"/>
      <c r="J860" s="37" t="n"/>
      <c r="K860" s="37" t="n"/>
      <c r="L860" s="43">
        <f>IF(C860="","",SUMIFS($J$7:J860,$C$7:C860,C860)-SUMIFS($K$7:K860,$C$7:C860,C860))</f>
        <v/>
      </c>
      <c r="N860">
        <f>IF(AND(C860&lt;&gt;"",C860='Tenant Statement'!$C$6),COUNTIF($C$7:C860,'Tenant Statement'!$C$6),"")</f>
        <v/>
      </c>
    </row>
    <row r="861">
      <c r="B861" s="41" t="n"/>
      <c r="C861" s="18" t="n"/>
      <c r="D861" s="42">
        <f>IF(C861="","",IFERROR(INDEX(TenantProperty,MATCH(C861,Tenants,0)),""))</f>
        <v/>
      </c>
      <c r="E861" s="42">
        <f>IF(C861="","",IFERROR(INDEX(TenantUnit,MATCH(C861,Tenants,0)),""))</f>
        <v/>
      </c>
      <c r="F861" s="18" t="n"/>
      <c r="G861" s="18" t="n"/>
      <c r="H861" s="18" t="n"/>
      <c r="I861" s="18" t="n"/>
      <c r="J861" s="37" t="n"/>
      <c r="K861" s="37" t="n"/>
      <c r="L861" s="43">
        <f>IF(C861="","",SUMIFS($J$7:J861,$C$7:C861,C861)-SUMIFS($K$7:K861,$C$7:C861,C861))</f>
        <v/>
      </c>
      <c r="N861">
        <f>IF(AND(C861&lt;&gt;"",C861='Tenant Statement'!$C$6),COUNTIF($C$7:C861,'Tenant Statement'!$C$6),"")</f>
        <v/>
      </c>
    </row>
    <row r="862">
      <c r="B862" s="41" t="n"/>
      <c r="C862" s="18" t="n"/>
      <c r="D862" s="42">
        <f>IF(C862="","",IFERROR(INDEX(TenantProperty,MATCH(C862,Tenants,0)),""))</f>
        <v/>
      </c>
      <c r="E862" s="42">
        <f>IF(C862="","",IFERROR(INDEX(TenantUnit,MATCH(C862,Tenants,0)),""))</f>
        <v/>
      </c>
      <c r="F862" s="18" t="n"/>
      <c r="G862" s="18" t="n"/>
      <c r="H862" s="18" t="n"/>
      <c r="I862" s="18" t="n"/>
      <c r="J862" s="37" t="n"/>
      <c r="K862" s="37" t="n"/>
      <c r="L862" s="43">
        <f>IF(C862="","",SUMIFS($J$7:J862,$C$7:C862,C862)-SUMIFS($K$7:K862,$C$7:C862,C862))</f>
        <v/>
      </c>
      <c r="N862">
        <f>IF(AND(C862&lt;&gt;"",C862='Tenant Statement'!$C$6),COUNTIF($C$7:C862,'Tenant Statement'!$C$6),"")</f>
        <v/>
      </c>
    </row>
    <row r="863">
      <c r="B863" s="41" t="n"/>
      <c r="C863" s="18" t="n"/>
      <c r="D863" s="42">
        <f>IF(C863="","",IFERROR(INDEX(TenantProperty,MATCH(C863,Tenants,0)),""))</f>
        <v/>
      </c>
      <c r="E863" s="42">
        <f>IF(C863="","",IFERROR(INDEX(TenantUnit,MATCH(C863,Tenants,0)),""))</f>
        <v/>
      </c>
      <c r="F863" s="18" t="n"/>
      <c r="G863" s="18" t="n"/>
      <c r="H863" s="18" t="n"/>
      <c r="I863" s="18" t="n"/>
      <c r="J863" s="37" t="n"/>
      <c r="K863" s="37" t="n"/>
      <c r="L863" s="43">
        <f>IF(C863="","",SUMIFS($J$7:J863,$C$7:C863,C863)-SUMIFS($K$7:K863,$C$7:C863,C863))</f>
        <v/>
      </c>
      <c r="N863">
        <f>IF(AND(C863&lt;&gt;"",C863='Tenant Statement'!$C$6),COUNTIF($C$7:C863,'Tenant Statement'!$C$6),"")</f>
        <v/>
      </c>
    </row>
    <row r="864">
      <c r="B864" s="41" t="n"/>
      <c r="C864" s="18" t="n"/>
      <c r="D864" s="42">
        <f>IF(C864="","",IFERROR(INDEX(TenantProperty,MATCH(C864,Tenants,0)),""))</f>
        <v/>
      </c>
      <c r="E864" s="42">
        <f>IF(C864="","",IFERROR(INDEX(TenantUnit,MATCH(C864,Tenants,0)),""))</f>
        <v/>
      </c>
      <c r="F864" s="18" t="n"/>
      <c r="G864" s="18" t="n"/>
      <c r="H864" s="18" t="n"/>
      <c r="I864" s="18" t="n"/>
      <c r="J864" s="37" t="n"/>
      <c r="K864" s="37" t="n"/>
      <c r="L864" s="43">
        <f>IF(C864="","",SUMIFS($J$7:J864,$C$7:C864,C864)-SUMIFS($K$7:K864,$C$7:C864,C864))</f>
        <v/>
      </c>
      <c r="N864">
        <f>IF(AND(C864&lt;&gt;"",C864='Tenant Statement'!$C$6),COUNTIF($C$7:C864,'Tenant Statement'!$C$6),"")</f>
        <v/>
      </c>
    </row>
    <row r="865">
      <c r="B865" s="41" t="n"/>
      <c r="C865" s="18" t="n"/>
      <c r="D865" s="42">
        <f>IF(C865="","",IFERROR(INDEX(TenantProperty,MATCH(C865,Tenants,0)),""))</f>
        <v/>
      </c>
      <c r="E865" s="42">
        <f>IF(C865="","",IFERROR(INDEX(TenantUnit,MATCH(C865,Tenants,0)),""))</f>
        <v/>
      </c>
      <c r="F865" s="18" t="n"/>
      <c r="G865" s="18" t="n"/>
      <c r="H865" s="18" t="n"/>
      <c r="I865" s="18" t="n"/>
      <c r="J865" s="37" t="n"/>
      <c r="K865" s="37" t="n"/>
      <c r="L865" s="43">
        <f>IF(C865="","",SUMIFS($J$7:J865,$C$7:C865,C865)-SUMIFS($K$7:K865,$C$7:C865,C865))</f>
        <v/>
      </c>
      <c r="N865">
        <f>IF(AND(C865&lt;&gt;"",C865='Tenant Statement'!$C$6),COUNTIF($C$7:C865,'Tenant Statement'!$C$6),"")</f>
        <v/>
      </c>
    </row>
    <row r="866">
      <c r="B866" s="41" t="n"/>
      <c r="C866" s="18" t="n"/>
      <c r="D866" s="42">
        <f>IF(C866="","",IFERROR(INDEX(TenantProperty,MATCH(C866,Tenants,0)),""))</f>
        <v/>
      </c>
      <c r="E866" s="42">
        <f>IF(C866="","",IFERROR(INDEX(TenantUnit,MATCH(C866,Tenants,0)),""))</f>
        <v/>
      </c>
      <c r="F866" s="18" t="n"/>
      <c r="G866" s="18" t="n"/>
      <c r="H866" s="18" t="n"/>
      <c r="I866" s="18" t="n"/>
      <c r="J866" s="37" t="n"/>
      <c r="K866" s="37" t="n"/>
      <c r="L866" s="43">
        <f>IF(C866="","",SUMIFS($J$7:J866,$C$7:C866,C866)-SUMIFS($K$7:K866,$C$7:C866,C866))</f>
        <v/>
      </c>
      <c r="N866">
        <f>IF(AND(C866&lt;&gt;"",C866='Tenant Statement'!$C$6),COUNTIF($C$7:C866,'Tenant Statement'!$C$6),"")</f>
        <v/>
      </c>
    </row>
    <row r="867">
      <c r="B867" s="41" t="n"/>
      <c r="C867" s="18" t="n"/>
      <c r="D867" s="42">
        <f>IF(C867="","",IFERROR(INDEX(TenantProperty,MATCH(C867,Tenants,0)),""))</f>
        <v/>
      </c>
      <c r="E867" s="42">
        <f>IF(C867="","",IFERROR(INDEX(TenantUnit,MATCH(C867,Tenants,0)),""))</f>
        <v/>
      </c>
      <c r="F867" s="18" t="n"/>
      <c r="G867" s="18" t="n"/>
      <c r="H867" s="18" t="n"/>
      <c r="I867" s="18" t="n"/>
      <c r="J867" s="37" t="n"/>
      <c r="K867" s="37" t="n"/>
      <c r="L867" s="43">
        <f>IF(C867="","",SUMIFS($J$7:J867,$C$7:C867,C867)-SUMIFS($K$7:K867,$C$7:C867,C867))</f>
        <v/>
      </c>
      <c r="N867">
        <f>IF(AND(C867&lt;&gt;"",C867='Tenant Statement'!$C$6),COUNTIF($C$7:C867,'Tenant Statement'!$C$6),"")</f>
        <v/>
      </c>
    </row>
    <row r="868">
      <c r="B868" s="41" t="n"/>
      <c r="C868" s="18" t="n"/>
      <c r="D868" s="42">
        <f>IF(C868="","",IFERROR(INDEX(TenantProperty,MATCH(C868,Tenants,0)),""))</f>
        <v/>
      </c>
      <c r="E868" s="42">
        <f>IF(C868="","",IFERROR(INDEX(TenantUnit,MATCH(C868,Tenants,0)),""))</f>
        <v/>
      </c>
      <c r="F868" s="18" t="n"/>
      <c r="G868" s="18" t="n"/>
      <c r="H868" s="18" t="n"/>
      <c r="I868" s="18" t="n"/>
      <c r="J868" s="37" t="n"/>
      <c r="K868" s="37" t="n"/>
      <c r="L868" s="43">
        <f>IF(C868="","",SUMIFS($J$7:J868,$C$7:C868,C868)-SUMIFS($K$7:K868,$C$7:C868,C868))</f>
        <v/>
      </c>
      <c r="N868">
        <f>IF(AND(C868&lt;&gt;"",C868='Tenant Statement'!$C$6),COUNTIF($C$7:C868,'Tenant Statement'!$C$6),"")</f>
        <v/>
      </c>
    </row>
    <row r="869">
      <c r="B869" s="41" t="n"/>
      <c r="C869" s="18" t="n"/>
      <c r="D869" s="42">
        <f>IF(C869="","",IFERROR(INDEX(TenantProperty,MATCH(C869,Tenants,0)),""))</f>
        <v/>
      </c>
      <c r="E869" s="42">
        <f>IF(C869="","",IFERROR(INDEX(TenantUnit,MATCH(C869,Tenants,0)),""))</f>
        <v/>
      </c>
      <c r="F869" s="18" t="n"/>
      <c r="G869" s="18" t="n"/>
      <c r="H869" s="18" t="n"/>
      <c r="I869" s="18" t="n"/>
      <c r="J869" s="37" t="n"/>
      <c r="K869" s="37" t="n"/>
      <c r="L869" s="43">
        <f>IF(C869="","",SUMIFS($J$7:J869,$C$7:C869,C869)-SUMIFS($K$7:K869,$C$7:C869,C869))</f>
        <v/>
      </c>
      <c r="N869">
        <f>IF(AND(C869&lt;&gt;"",C869='Tenant Statement'!$C$6),COUNTIF($C$7:C869,'Tenant Statement'!$C$6),"")</f>
        <v/>
      </c>
    </row>
    <row r="870">
      <c r="B870" s="41" t="n"/>
      <c r="C870" s="18" t="n"/>
      <c r="D870" s="42">
        <f>IF(C870="","",IFERROR(INDEX(TenantProperty,MATCH(C870,Tenants,0)),""))</f>
        <v/>
      </c>
      <c r="E870" s="42">
        <f>IF(C870="","",IFERROR(INDEX(TenantUnit,MATCH(C870,Tenants,0)),""))</f>
        <v/>
      </c>
      <c r="F870" s="18" t="n"/>
      <c r="G870" s="18" t="n"/>
      <c r="H870" s="18" t="n"/>
      <c r="I870" s="18" t="n"/>
      <c r="J870" s="37" t="n"/>
      <c r="K870" s="37" t="n"/>
      <c r="L870" s="43">
        <f>IF(C870="","",SUMIFS($J$7:J870,$C$7:C870,C870)-SUMIFS($K$7:K870,$C$7:C870,C870))</f>
        <v/>
      </c>
      <c r="N870">
        <f>IF(AND(C870&lt;&gt;"",C870='Tenant Statement'!$C$6),COUNTIF($C$7:C870,'Tenant Statement'!$C$6),"")</f>
        <v/>
      </c>
    </row>
    <row r="871">
      <c r="B871" s="41" t="n"/>
      <c r="C871" s="18" t="n"/>
      <c r="D871" s="42">
        <f>IF(C871="","",IFERROR(INDEX(TenantProperty,MATCH(C871,Tenants,0)),""))</f>
        <v/>
      </c>
      <c r="E871" s="42">
        <f>IF(C871="","",IFERROR(INDEX(TenantUnit,MATCH(C871,Tenants,0)),""))</f>
        <v/>
      </c>
      <c r="F871" s="18" t="n"/>
      <c r="G871" s="18" t="n"/>
      <c r="H871" s="18" t="n"/>
      <c r="I871" s="18" t="n"/>
      <c r="J871" s="37" t="n"/>
      <c r="K871" s="37" t="n"/>
      <c r="L871" s="43">
        <f>IF(C871="","",SUMIFS($J$7:J871,$C$7:C871,C871)-SUMIFS($K$7:K871,$C$7:C871,C871))</f>
        <v/>
      </c>
      <c r="N871">
        <f>IF(AND(C871&lt;&gt;"",C871='Tenant Statement'!$C$6),COUNTIF($C$7:C871,'Tenant Statement'!$C$6),"")</f>
        <v/>
      </c>
    </row>
    <row r="872">
      <c r="B872" s="41" t="n"/>
      <c r="C872" s="18" t="n"/>
      <c r="D872" s="42">
        <f>IF(C872="","",IFERROR(INDEX(TenantProperty,MATCH(C872,Tenants,0)),""))</f>
        <v/>
      </c>
      <c r="E872" s="42">
        <f>IF(C872="","",IFERROR(INDEX(TenantUnit,MATCH(C872,Tenants,0)),""))</f>
        <v/>
      </c>
      <c r="F872" s="18" t="n"/>
      <c r="G872" s="18" t="n"/>
      <c r="H872" s="18" t="n"/>
      <c r="I872" s="18" t="n"/>
      <c r="J872" s="37" t="n"/>
      <c r="K872" s="37" t="n"/>
      <c r="L872" s="43">
        <f>IF(C872="","",SUMIFS($J$7:J872,$C$7:C872,C872)-SUMIFS($K$7:K872,$C$7:C872,C872))</f>
        <v/>
      </c>
      <c r="N872">
        <f>IF(AND(C872&lt;&gt;"",C872='Tenant Statement'!$C$6),COUNTIF($C$7:C872,'Tenant Statement'!$C$6),"")</f>
        <v/>
      </c>
    </row>
    <row r="873">
      <c r="B873" s="41" t="n"/>
      <c r="C873" s="18" t="n"/>
      <c r="D873" s="42">
        <f>IF(C873="","",IFERROR(INDEX(TenantProperty,MATCH(C873,Tenants,0)),""))</f>
        <v/>
      </c>
      <c r="E873" s="42">
        <f>IF(C873="","",IFERROR(INDEX(TenantUnit,MATCH(C873,Tenants,0)),""))</f>
        <v/>
      </c>
      <c r="F873" s="18" t="n"/>
      <c r="G873" s="18" t="n"/>
      <c r="H873" s="18" t="n"/>
      <c r="I873" s="18" t="n"/>
      <c r="J873" s="37" t="n"/>
      <c r="K873" s="37" t="n"/>
      <c r="L873" s="43">
        <f>IF(C873="","",SUMIFS($J$7:J873,$C$7:C873,C873)-SUMIFS($K$7:K873,$C$7:C873,C873))</f>
        <v/>
      </c>
      <c r="N873">
        <f>IF(AND(C873&lt;&gt;"",C873='Tenant Statement'!$C$6),COUNTIF($C$7:C873,'Tenant Statement'!$C$6),"")</f>
        <v/>
      </c>
    </row>
    <row r="874">
      <c r="B874" s="41" t="n"/>
      <c r="C874" s="18" t="n"/>
      <c r="D874" s="42">
        <f>IF(C874="","",IFERROR(INDEX(TenantProperty,MATCH(C874,Tenants,0)),""))</f>
        <v/>
      </c>
      <c r="E874" s="42">
        <f>IF(C874="","",IFERROR(INDEX(TenantUnit,MATCH(C874,Tenants,0)),""))</f>
        <v/>
      </c>
      <c r="F874" s="18" t="n"/>
      <c r="G874" s="18" t="n"/>
      <c r="H874" s="18" t="n"/>
      <c r="I874" s="18" t="n"/>
      <c r="J874" s="37" t="n"/>
      <c r="K874" s="37" t="n"/>
      <c r="L874" s="43">
        <f>IF(C874="","",SUMIFS($J$7:J874,$C$7:C874,C874)-SUMIFS($K$7:K874,$C$7:C874,C874))</f>
        <v/>
      </c>
      <c r="N874">
        <f>IF(AND(C874&lt;&gt;"",C874='Tenant Statement'!$C$6),COUNTIF($C$7:C874,'Tenant Statement'!$C$6),"")</f>
        <v/>
      </c>
    </row>
    <row r="875">
      <c r="B875" s="41" t="n"/>
      <c r="C875" s="18" t="n"/>
      <c r="D875" s="42">
        <f>IF(C875="","",IFERROR(INDEX(TenantProperty,MATCH(C875,Tenants,0)),""))</f>
        <v/>
      </c>
      <c r="E875" s="42">
        <f>IF(C875="","",IFERROR(INDEX(TenantUnit,MATCH(C875,Tenants,0)),""))</f>
        <v/>
      </c>
      <c r="F875" s="18" t="n"/>
      <c r="G875" s="18" t="n"/>
      <c r="H875" s="18" t="n"/>
      <c r="I875" s="18" t="n"/>
      <c r="J875" s="37" t="n"/>
      <c r="K875" s="37" t="n"/>
      <c r="L875" s="43">
        <f>IF(C875="","",SUMIFS($J$7:J875,$C$7:C875,C875)-SUMIFS($K$7:K875,$C$7:C875,C875))</f>
        <v/>
      </c>
      <c r="N875">
        <f>IF(AND(C875&lt;&gt;"",C875='Tenant Statement'!$C$6),COUNTIF($C$7:C875,'Tenant Statement'!$C$6),"")</f>
        <v/>
      </c>
    </row>
    <row r="876">
      <c r="B876" s="41" t="n"/>
      <c r="C876" s="18" t="n"/>
      <c r="D876" s="42">
        <f>IF(C876="","",IFERROR(INDEX(TenantProperty,MATCH(C876,Tenants,0)),""))</f>
        <v/>
      </c>
      <c r="E876" s="42">
        <f>IF(C876="","",IFERROR(INDEX(TenantUnit,MATCH(C876,Tenants,0)),""))</f>
        <v/>
      </c>
      <c r="F876" s="18" t="n"/>
      <c r="G876" s="18" t="n"/>
      <c r="H876" s="18" t="n"/>
      <c r="I876" s="18" t="n"/>
      <c r="J876" s="37" t="n"/>
      <c r="K876" s="37" t="n"/>
      <c r="L876" s="43">
        <f>IF(C876="","",SUMIFS($J$7:J876,$C$7:C876,C876)-SUMIFS($K$7:K876,$C$7:C876,C876))</f>
        <v/>
      </c>
      <c r="N876">
        <f>IF(AND(C876&lt;&gt;"",C876='Tenant Statement'!$C$6),COUNTIF($C$7:C876,'Tenant Statement'!$C$6),"")</f>
        <v/>
      </c>
    </row>
    <row r="877">
      <c r="B877" s="41" t="n"/>
      <c r="C877" s="18" t="n"/>
      <c r="D877" s="42">
        <f>IF(C877="","",IFERROR(INDEX(TenantProperty,MATCH(C877,Tenants,0)),""))</f>
        <v/>
      </c>
      <c r="E877" s="42">
        <f>IF(C877="","",IFERROR(INDEX(TenantUnit,MATCH(C877,Tenants,0)),""))</f>
        <v/>
      </c>
      <c r="F877" s="18" t="n"/>
      <c r="G877" s="18" t="n"/>
      <c r="H877" s="18" t="n"/>
      <c r="I877" s="18" t="n"/>
      <c r="J877" s="37" t="n"/>
      <c r="K877" s="37" t="n"/>
      <c r="L877" s="43">
        <f>IF(C877="","",SUMIFS($J$7:J877,$C$7:C877,C877)-SUMIFS($K$7:K877,$C$7:C877,C877))</f>
        <v/>
      </c>
      <c r="N877">
        <f>IF(AND(C877&lt;&gt;"",C877='Tenant Statement'!$C$6),COUNTIF($C$7:C877,'Tenant Statement'!$C$6),"")</f>
        <v/>
      </c>
    </row>
    <row r="878">
      <c r="B878" s="41" t="n"/>
      <c r="C878" s="18" t="n"/>
      <c r="D878" s="42">
        <f>IF(C878="","",IFERROR(INDEX(TenantProperty,MATCH(C878,Tenants,0)),""))</f>
        <v/>
      </c>
      <c r="E878" s="42">
        <f>IF(C878="","",IFERROR(INDEX(TenantUnit,MATCH(C878,Tenants,0)),""))</f>
        <v/>
      </c>
      <c r="F878" s="18" t="n"/>
      <c r="G878" s="18" t="n"/>
      <c r="H878" s="18" t="n"/>
      <c r="I878" s="18" t="n"/>
      <c r="J878" s="37" t="n"/>
      <c r="K878" s="37" t="n"/>
      <c r="L878" s="43">
        <f>IF(C878="","",SUMIFS($J$7:J878,$C$7:C878,C878)-SUMIFS($K$7:K878,$C$7:C878,C878))</f>
        <v/>
      </c>
      <c r="N878">
        <f>IF(AND(C878&lt;&gt;"",C878='Tenant Statement'!$C$6),COUNTIF($C$7:C878,'Tenant Statement'!$C$6),"")</f>
        <v/>
      </c>
    </row>
    <row r="879">
      <c r="B879" s="41" t="n"/>
      <c r="C879" s="18" t="n"/>
      <c r="D879" s="42">
        <f>IF(C879="","",IFERROR(INDEX(TenantProperty,MATCH(C879,Tenants,0)),""))</f>
        <v/>
      </c>
      <c r="E879" s="42">
        <f>IF(C879="","",IFERROR(INDEX(TenantUnit,MATCH(C879,Tenants,0)),""))</f>
        <v/>
      </c>
      <c r="F879" s="18" t="n"/>
      <c r="G879" s="18" t="n"/>
      <c r="H879" s="18" t="n"/>
      <c r="I879" s="18" t="n"/>
      <c r="J879" s="37" t="n"/>
      <c r="K879" s="37" t="n"/>
      <c r="L879" s="43">
        <f>IF(C879="","",SUMIFS($J$7:J879,$C$7:C879,C879)-SUMIFS($K$7:K879,$C$7:C879,C879))</f>
        <v/>
      </c>
      <c r="N879">
        <f>IF(AND(C879&lt;&gt;"",C879='Tenant Statement'!$C$6),COUNTIF($C$7:C879,'Tenant Statement'!$C$6),"")</f>
        <v/>
      </c>
    </row>
    <row r="880">
      <c r="B880" s="41" t="n"/>
      <c r="C880" s="18" t="n"/>
      <c r="D880" s="42">
        <f>IF(C880="","",IFERROR(INDEX(TenantProperty,MATCH(C880,Tenants,0)),""))</f>
        <v/>
      </c>
      <c r="E880" s="42">
        <f>IF(C880="","",IFERROR(INDEX(TenantUnit,MATCH(C880,Tenants,0)),""))</f>
        <v/>
      </c>
      <c r="F880" s="18" t="n"/>
      <c r="G880" s="18" t="n"/>
      <c r="H880" s="18" t="n"/>
      <c r="I880" s="18" t="n"/>
      <c r="J880" s="37" t="n"/>
      <c r="K880" s="37" t="n"/>
      <c r="L880" s="43">
        <f>IF(C880="","",SUMIFS($J$7:J880,$C$7:C880,C880)-SUMIFS($K$7:K880,$C$7:C880,C880))</f>
        <v/>
      </c>
      <c r="N880">
        <f>IF(AND(C880&lt;&gt;"",C880='Tenant Statement'!$C$6),COUNTIF($C$7:C880,'Tenant Statement'!$C$6),"")</f>
        <v/>
      </c>
    </row>
    <row r="881">
      <c r="B881" s="41" t="n"/>
      <c r="C881" s="18" t="n"/>
      <c r="D881" s="42">
        <f>IF(C881="","",IFERROR(INDEX(TenantProperty,MATCH(C881,Tenants,0)),""))</f>
        <v/>
      </c>
      <c r="E881" s="42">
        <f>IF(C881="","",IFERROR(INDEX(TenantUnit,MATCH(C881,Tenants,0)),""))</f>
        <v/>
      </c>
      <c r="F881" s="18" t="n"/>
      <c r="G881" s="18" t="n"/>
      <c r="H881" s="18" t="n"/>
      <c r="I881" s="18" t="n"/>
      <c r="J881" s="37" t="n"/>
      <c r="K881" s="37" t="n"/>
      <c r="L881" s="43">
        <f>IF(C881="","",SUMIFS($J$7:J881,$C$7:C881,C881)-SUMIFS($K$7:K881,$C$7:C881,C881))</f>
        <v/>
      </c>
      <c r="N881">
        <f>IF(AND(C881&lt;&gt;"",C881='Tenant Statement'!$C$6),COUNTIF($C$7:C881,'Tenant Statement'!$C$6),"")</f>
        <v/>
      </c>
    </row>
    <row r="882">
      <c r="B882" s="41" t="n"/>
      <c r="C882" s="18" t="n"/>
      <c r="D882" s="42">
        <f>IF(C882="","",IFERROR(INDEX(TenantProperty,MATCH(C882,Tenants,0)),""))</f>
        <v/>
      </c>
      <c r="E882" s="42">
        <f>IF(C882="","",IFERROR(INDEX(TenantUnit,MATCH(C882,Tenants,0)),""))</f>
        <v/>
      </c>
      <c r="F882" s="18" t="n"/>
      <c r="G882" s="18" t="n"/>
      <c r="H882" s="18" t="n"/>
      <c r="I882" s="18" t="n"/>
      <c r="J882" s="37" t="n"/>
      <c r="K882" s="37" t="n"/>
      <c r="L882" s="43">
        <f>IF(C882="","",SUMIFS($J$7:J882,$C$7:C882,C882)-SUMIFS($K$7:K882,$C$7:C882,C882))</f>
        <v/>
      </c>
      <c r="N882">
        <f>IF(AND(C882&lt;&gt;"",C882='Tenant Statement'!$C$6),COUNTIF($C$7:C882,'Tenant Statement'!$C$6),"")</f>
        <v/>
      </c>
    </row>
    <row r="883">
      <c r="B883" s="41" t="n"/>
      <c r="C883" s="18" t="n"/>
      <c r="D883" s="42">
        <f>IF(C883="","",IFERROR(INDEX(TenantProperty,MATCH(C883,Tenants,0)),""))</f>
        <v/>
      </c>
      <c r="E883" s="42">
        <f>IF(C883="","",IFERROR(INDEX(TenantUnit,MATCH(C883,Tenants,0)),""))</f>
        <v/>
      </c>
      <c r="F883" s="18" t="n"/>
      <c r="G883" s="18" t="n"/>
      <c r="H883" s="18" t="n"/>
      <c r="I883" s="18" t="n"/>
      <c r="J883" s="37" t="n"/>
      <c r="K883" s="37" t="n"/>
      <c r="L883" s="43">
        <f>IF(C883="","",SUMIFS($J$7:J883,$C$7:C883,C883)-SUMIFS($K$7:K883,$C$7:C883,C883))</f>
        <v/>
      </c>
      <c r="N883">
        <f>IF(AND(C883&lt;&gt;"",C883='Tenant Statement'!$C$6),COUNTIF($C$7:C883,'Tenant Statement'!$C$6),"")</f>
        <v/>
      </c>
    </row>
    <row r="884">
      <c r="B884" s="41" t="n"/>
      <c r="C884" s="18" t="n"/>
      <c r="D884" s="42">
        <f>IF(C884="","",IFERROR(INDEX(TenantProperty,MATCH(C884,Tenants,0)),""))</f>
        <v/>
      </c>
      <c r="E884" s="42">
        <f>IF(C884="","",IFERROR(INDEX(TenantUnit,MATCH(C884,Tenants,0)),""))</f>
        <v/>
      </c>
      <c r="F884" s="18" t="n"/>
      <c r="G884" s="18" t="n"/>
      <c r="H884" s="18" t="n"/>
      <c r="I884" s="18" t="n"/>
      <c r="J884" s="37" t="n"/>
      <c r="K884" s="37" t="n"/>
      <c r="L884" s="43">
        <f>IF(C884="","",SUMIFS($J$7:J884,$C$7:C884,C884)-SUMIFS($K$7:K884,$C$7:C884,C884))</f>
        <v/>
      </c>
      <c r="N884">
        <f>IF(AND(C884&lt;&gt;"",C884='Tenant Statement'!$C$6),COUNTIF($C$7:C884,'Tenant Statement'!$C$6),"")</f>
        <v/>
      </c>
    </row>
    <row r="885">
      <c r="B885" s="41" t="n"/>
      <c r="C885" s="18" t="n"/>
      <c r="D885" s="42">
        <f>IF(C885="","",IFERROR(INDEX(TenantProperty,MATCH(C885,Tenants,0)),""))</f>
        <v/>
      </c>
      <c r="E885" s="42">
        <f>IF(C885="","",IFERROR(INDEX(TenantUnit,MATCH(C885,Tenants,0)),""))</f>
        <v/>
      </c>
      <c r="F885" s="18" t="n"/>
      <c r="G885" s="18" t="n"/>
      <c r="H885" s="18" t="n"/>
      <c r="I885" s="18" t="n"/>
      <c r="J885" s="37" t="n"/>
      <c r="K885" s="37" t="n"/>
      <c r="L885" s="43">
        <f>IF(C885="","",SUMIFS($J$7:J885,$C$7:C885,C885)-SUMIFS($K$7:K885,$C$7:C885,C885))</f>
        <v/>
      </c>
      <c r="N885">
        <f>IF(AND(C885&lt;&gt;"",C885='Tenant Statement'!$C$6),COUNTIF($C$7:C885,'Tenant Statement'!$C$6),"")</f>
        <v/>
      </c>
    </row>
    <row r="886">
      <c r="B886" s="41" t="n"/>
      <c r="C886" s="18" t="n"/>
      <c r="D886" s="42">
        <f>IF(C886="","",IFERROR(INDEX(TenantProperty,MATCH(C886,Tenants,0)),""))</f>
        <v/>
      </c>
      <c r="E886" s="42">
        <f>IF(C886="","",IFERROR(INDEX(TenantUnit,MATCH(C886,Tenants,0)),""))</f>
        <v/>
      </c>
      <c r="F886" s="18" t="n"/>
      <c r="G886" s="18" t="n"/>
      <c r="H886" s="18" t="n"/>
      <c r="I886" s="18" t="n"/>
      <c r="J886" s="37" t="n"/>
      <c r="K886" s="37" t="n"/>
      <c r="L886" s="43">
        <f>IF(C886="","",SUMIFS($J$7:J886,$C$7:C886,C886)-SUMIFS($K$7:K886,$C$7:C886,C886))</f>
        <v/>
      </c>
      <c r="N886">
        <f>IF(AND(C886&lt;&gt;"",C886='Tenant Statement'!$C$6),COUNTIF($C$7:C886,'Tenant Statement'!$C$6),"")</f>
        <v/>
      </c>
    </row>
    <row r="887">
      <c r="B887" s="41" t="n"/>
      <c r="C887" s="18" t="n"/>
      <c r="D887" s="42">
        <f>IF(C887="","",IFERROR(INDEX(TenantProperty,MATCH(C887,Tenants,0)),""))</f>
        <v/>
      </c>
      <c r="E887" s="42">
        <f>IF(C887="","",IFERROR(INDEX(TenantUnit,MATCH(C887,Tenants,0)),""))</f>
        <v/>
      </c>
      <c r="F887" s="18" t="n"/>
      <c r="G887" s="18" t="n"/>
      <c r="H887" s="18" t="n"/>
      <c r="I887" s="18" t="n"/>
      <c r="J887" s="37" t="n"/>
      <c r="K887" s="37" t="n"/>
      <c r="L887" s="43">
        <f>IF(C887="","",SUMIFS($J$7:J887,$C$7:C887,C887)-SUMIFS($K$7:K887,$C$7:C887,C887))</f>
        <v/>
      </c>
      <c r="N887">
        <f>IF(AND(C887&lt;&gt;"",C887='Tenant Statement'!$C$6),COUNTIF($C$7:C887,'Tenant Statement'!$C$6),"")</f>
        <v/>
      </c>
    </row>
    <row r="888">
      <c r="B888" s="41" t="n"/>
      <c r="C888" s="18" t="n"/>
      <c r="D888" s="42">
        <f>IF(C888="","",IFERROR(INDEX(TenantProperty,MATCH(C888,Tenants,0)),""))</f>
        <v/>
      </c>
      <c r="E888" s="42">
        <f>IF(C888="","",IFERROR(INDEX(TenantUnit,MATCH(C888,Tenants,0)),""))</f>
        <v/>
      </c>
      <c r="F888" s="18" t="n"/>
      <c r="G888" s="18" t="n"/>
      <c r="H888" s="18" t="n"/>
      <c r="I888" s="18" t="n"/>
      <c r="J888" s="37" t="n"/>
      <c r="K888" s="37" t="n"/>
      <c r="L888" s="43">
        <f>IF(C888="","",SUMIFS($J$7:J888,$C$7:C888,C888)-SUMIFS($K$7:K888,$C$7:C888,C888))</f>
        <v/>
      </c>
      <c r="N888">
        <f>IF(AND(C888&lt;&gt;"",C888='Tenant Statement'!$C$6),COUNTIF($C$7:C888,'Tenant Statement'!$C$6),"")</f>
        <v/>
      </c>
    </row>
    <row r="889">
      <c r="B889" s="41" t="n"/>
      <c r="C889" s="18" t="n"/>
      <c r="D889" s="42">
        <f>IF(C889="","",IFERROR(INDEX(TenantProperty,MATCH(C889,Tenants,0)),""))</f>
        <v/>
      </c>
      <c r="E889" s="42">
        <f>IF(C889="","",IFERROR(INDEX(TenantUnit,MATCH(C889,Tenants,0)),""))</f>
        <v/>
      </c>
      <c r="F889" s="18" t="n"/>
      <c r="G889" s="18" t="n"/>
      <c r="H889" s="18" t="n"/>
      <c r="I889" s="18" t="n"/>
      <c r="J889" s="37" t="n"/>
      <c r="K889" s="37" t="n"/>
      <c r="L889" s="43">
        <f>IF(C889="","",SUMIFS($J$7:J889,$C$7:C889,C889)-SUMIFS($K$7:K889,$C$7:C889,C889))</f>
        <v/>
      </c>
      <c r="N889">
        <f>IF(AND(C889&lt;&gt;"",C889='Tenant Statement'!$C$6),COUNTIF($C$7:C889,'Tenant Statement'!$C$6),"")</f>
        <v/>
      </c>
    </row>
    <row r="890">
      <c r="B890" s="41" t="n"/>
      <c r="C890" s="18" t="n"/>
      <c r="D890" s="42">
        <f>IF(C890="","",IFERROR(INDEX(TenantProperty,MATCH(C890,Tenants,0)),""))</f>
        <v/>
      </c>
      <c r="E890" s="42">
        <f>IF(C890="","",IFERROR(INDEX(TenantUnit,MATCH(C890,Tenants,0)),""))</f>
        <v/>
      </c>
      <c r="F890" s="18" t="n"/>
      <c r="G890" s="18" t="n"/>
      <c r="H890" s="18" t="n"/>
      <c r="I890" s="18" t="n"/>
      <c r="J890" s="37" t="n"/>
      <c r="K890" s="37" t="n"/>
      <c r="L890" s="43">
        <f>IF(C890="","",SUMIFS($J$7:J890,$C$7:C890,C890)-SUMIFS($K$7:K890,$C$7:C890,C890))</f>
        <v/>
      </c>
      <c r="N890">
        <f>IF(AND(C890&lt;&gt;"",C890='Tenant Statement'!$C$6),COUNTIF($C$7:C890,'Tenant Statement'!$C$6),"")</f>
        <v/>
      </c>
    </row>
    <row r="891">
      <c r="B891" s="41" t="n"/>
      <c r="C891" s="18" t="n"/>
      <c r="D891" s="42">
        <f>IF(C891="","",IFERROR(INDEX(TenantProperty,MATCH(C891,Tenants,0)),""))</f>
        <v/>
      </c>
      <c r="E891" s="42">
        <f>IF(C891="","",IFERROR(INDEX(TenantUnit,MATCH(C891,Tenants,0)),""))</f>
        <v/>
      </c>
      <c r="F891" s="18" t="n"/>
      <c r="G891" s="18" t="n"/>
      <c r="H891" s="18" t="n"/>
      <c r="I891" s="18" t="n"/>
      <c r="J891" s="37" t="n"/>
      <c r="K891" s="37" t="n"/>
      <c r="L891" s="43">
        <f>IF(C891="","",SUMIFS($J$7:J891,$C$7:C891,C891)-SUMIFS($K$7:K891,$C$7:C891,C891))</f>
        <v/>
      </c>
      <c r="N891">
        <f>IF(AND(C891&lt;&gt;"",C891='Tenant Statement'!$C$6),COUNTIF($C$7:C891,'Tenant Statement'!$C$6),"")</f>
        <v/>
      </c>
    </row>
    <row r="892">
      <c r="B892" s="41" t="n"/>
      <c r="C892" s="18" t="n"/>
      <c r="D892" s="42">
        <f>IF(C892="","",IFERROR(INDEX(TenantProperty,MATCH(C892,Tenants,0)),""))</f>
        <v/>
      </c>
      <c r="E892" s="42">
        <f>IF(C892="","",IFERROR(INDEX(TenantUnit,MATCH(C892,Tenants,0)),""))</f>
        <v/>
      </c>
      <c r="F892" s="18" t="n"/>
      <c r="G892" s="18" t="n"/>
      <c r="H892" s="18" t="n"/>
      <c r="I892" s="18" t="n"/>
      <c r="J892" s="37" t="n"/>
      <c r="K892" s="37" t="n"/>
      <c r="L892" s="43">
        <f>IF(C892="","",SUMIFS($J$7:J892,$C$7:C892,C892)-SUMIFS($K$7:K892,$C$7:C892,C892))</f>
        <v/>
      </c>
      <c r="N892">
        <f>IF(AND(C892&lt;&gt;"",C892='Tenant Statement'!$C$6),COUNTIF($C$7:C892,'Tenant Statement'!$C$6),"")</f>
        <v/>
      </c>
    </row>
    <row r="893">
      <c r="B893" s="41" t="n"/>
      <c r="C893" s="18" t="n"/>
      <c r="D893" s="42">
        <f>IF(C893="","",IFERROR(INDEX(TenantProperty,MATCH(C893,Tenants,0)),""))</f>
        <v/>
      </c>
      <c r="E893" s="42">
        <f>IF(C893="","",IFERROR(INDEX(TenantUnit,MATCH(C893,Tenants,0)),""))</f>
        <v/>
      </c>
      <c r="F893" s="18" t="n"/>
      <c r="G893" s="18" t="n"/>
      <c r="H893" s="18" t="n"/>
      <c r="I893" s="18" t="n"/>
      <c r="J893" s="37" t="n"/>
      <c r="K893" s="37" t="n"/>
      <c r="L893" s="43">
        <f>IF(C893="","",SUMIFS($J$7:J893,$C$7:C893,C893)-SUMIFS($K$7:K893,$C$7:C893,C893))</f>
        <v/>
      </c>
      <c r="N893">
        <f>IF(AND(C893&lt;&gt;"",C893='Tenant Statement'!$C$6),COUNTIF($C$7:C893,'Tenant Statement'!$C$6),"")</f>
        <v/>
      </c>
    </row>
    <row r="894">
      <c r="B894" s="41" t="n"/>
      <c r="C894" s="18" t="n"/>
      <c r="D894" s="42">
        <f>IF(C894="","",IFERROR(INDEX(TenantProperty,MATCH(C894,Tenants,0)),""))</f>
        <v/>
      </c>
      <c r="E894" s="42">
        <f>IF(C894="","",IFERROR(INDEX(TenantUnit,MATCH(C894,Tenants,0)),""))</f>
        <v/>
      </c>
      <c r="F894" s="18" t="n"/>
      <c r="G894" s="18" t="n"/>
      <c r="H894" s="18" t="n"/>
      <c r="I894" s="18" t="n"/>
      <c r="J894" s="37" t="n"/>
      <c r="K894" s="37" t="n"/>
      <c r="L894" s="43">
        <f>IF(C894="","",SUMIFS($J$7:J894,$C$7:C894,C894)-SUMIFS($K$7:K894,$C$7:C894,C894))</f>
        <v/>
      </c>
      <c r="N894">
        <f>IF(AND(C894&lt;&gt;"",C894='Tenant Statement'!$C$6),COUNTIF($C$7:C894,'Tenant Statement'!$C$6),"")</f>
        <v/>
      </c>
    </row>
    <row r="895">
      <c r="B895" s="41" t="n"/>
      <c r="C895" s="18" t="n"/>
      <c r="D895" s="42">
        <f>IF(C895="","",IFERROR(INDEX(TenantProperty,MATCH(C895,Tenants,0)),""))</f>
        <v/>
      </c>
      <c r="E895" s="42">
        <f>IF(C895="","",IFERROR(INDEX(TenantUnit,MATCH(C895,Tenants,0)),""))</f>
        <v/>
      </c>
      <c r="F895" s="18" t="n"/>
      <c r="G895" s="18" t="n"/>
      <c r="H895" s="18" t="n"/>
      <c r="I895" s="18" t="n"/>
      <c r="J895" s="37" t="n"/>
      <c r="K895" s="37" t="n"/>
      <c r="L895" s="43">
        <f>IF(C895="","",SUMIFS($J$7:J895,$C$7:C895,C895)-SUMIFS($K$7:K895,$C$7:C895,C895))</f>
        <v/>
      </c>
      <c r="N895">
        <f>IF(AND(C895&lt;&gt;"",C895='Tenant Statement'!$C$6),COUNTIF($C$7:C895,'Tenant Statement'!$C$6),"")</f>
        <v/>
      </c>
    </row>
    <row r="896">
      <c r="B896" s="41" t="n"/>
      <c r="C896" s="18" t="n"/>
      <c r="D896" s="42">
        <f>IF(C896="","",IFERROR(INDEX(TenantProperty,MATCH(C896,Tenants,0)),""))</f>
        <v/>
      </c>
      <c r="E896" s="42">
        <f>IF(C896="","",IFERROR(INDEX(TenantUnit,MATCH(C896,Tenants,0)),""))</f>
        <v/>
      </c>
      <c r="F896" s="18" t="n"/>
      <c r="G896" s="18" t="n"/>
      <c r="H896" s="18" t="n"/>
      <c r="I896" s="18" t="n"/>
      <c r="J896" s="37" t="n"/>
      <c r="K896" s="37" t="n"/>
      <c r="L896" s="43">
        <f>IF(C896="","",SUMIFS($J$7:J896,$C$7:C896,C896)-SUMIFS($K$7:K896,$C$7:C896,C896))</f>
        <v/>
      </c>
      <c r="N896">
        <f>IF(AND(C896&lt;&gt;"",C896='Tenant Statement'!$C$6),COUNTIF($C$7:C896,'Tenant Statement'!$C$6),"")</f>
        <v/>
      </c>
    </row>
    <row r="897">
      <c r="B897" s="41" t="n"/>
      <c r="C897" s="18" t="n"/>
      <c r="D897" s="42">
        <f>IF(C897="","",IFERROR(INDEX(TenantProperty,MATCH(C897,Tenants,0)),""))</f>
        <v/>
      </c>
      <c r="E897" s="42">
        <f>IF(C897="","",IFERROR(INDEX(TenantUnit,MATCH(C897,Tenants,0)),""))</f>
        <v/>
      </c>
      <c r="F897" s="18" t="n"/>
      <c r="G897" s="18" t="n"/>
      <c r="H897" s="18" t="n"/>
      <c r="I897" s="18" t="n"/>
      <c r="J897" s="37" t="n"/>
      <c r="K897" s="37" t="n"/>
      <c r="L897" s="43">
        <f>IF(C897="","",SUMIFS($J$7:J897,$C$7:C897,C897)-SUMIFS($K$7:K897,$C$7:C897,C897))</f>
        <v/>
      </c>
      <c r="N897">
        <f>IF(AND(C897&lt;&gt;"",C897='Tenant Statement'!$C$6),COUNTIF($C$7:C897,'Tenant Statement'!$C$6),"")</f>
        <v/>
      </c>
    </row>
    <row r="898">
      <c r="B898" s="41" t="n"/>
      <c r="C898" s="18" t="n"/>
      <c r="D898" s="42">
        <f>IF(C898="","",IFERROR(INDEX(TenantProperty,MATCH(C898,Tenants,0)),""))</f>
        <v/>
      </c>
      <c r="E898" s="42">
        <f>IF(C898="","",IFERROR(INDEX(TenantUnit,MATCH(C898,Tenants,0)),""))</f>
        <v/>
      </c>
      <c r="F898" s="18" t="n"/>
      <c r="G898" s="18" t="n"/>
      <c r="H898" s="18" t="n"/>
      <c r="I898" s="18" t="n"/>
      <c r="J898" s="37" t="n"/>
      <c r="K898" s="37" t="n"/>
      <c r="L898" s="43">
        <f>IF(C898="","",SUMIFS($J$7:J898,$C$7:C898,C898)-SUMIFS($K$7:K898,$C$7:C898,C898))</f>
        <v/>
      </c>
      <c r="N898">
        <f>IF(AND(C898&lt;&gt;"",C898='Tenant Statement'!$C$6),COUNTIF($C$7:C898,'Tenant Statement'!$C$6),"")</f>
        <v/>
      </c>
    </row>
    <row r="899">
      <c r="B899" s="41" t="n"/>
      <c r="C899" s="18" t="n"/>
      <c r="D899" s="42">
        <f>IF(C899="","",IFERROR(INDEX(TenantProperty,MATCH(C899,Tenants,0)),""))</f>
        <v/>
      </c>
      <c r="E899" s="42">
        <f>IF(C899="","",IFERROR(INDEX(TenantUnit,MATCH(C899,Tenants,0)),""))</f>
        <v/>
      </c>
      <c r="F899" s="18" t="n"/>
      <c r="G899" s="18" t="n"/>
      <c r="H899" s="18" t="n"/>
      <c r="I899" s="18" t="n"/>
      <c r="J899" s="37" t="n"/>
      <c r="K899" s="37" t="n"/>
      <c r="L899" s="43">
        <f>IF(C899="","",SUMIFS($J$7:J899,$C$7:C899,C899)-SUMIFS($K$7:K899,$C$7:C899,C899))</f>
        <v/>
      </c>
      <c r="N899">
        <f>IF(AND(C899&lt;&gt;"",C899='Tenant Statement'!$C$6),COUNTIF($C$7:C899,'Tenant Statement'!$C$6),"")</f>
        <v/>
      </c>
    </row>
    <row r="900">
      <c r="B900" s="41" t="n"/>
      <c r="C900" s="18" t="n"/>
      <c r="D900" s="42">
        <f>IF(C900="","",IFERROR(INDEX(TenantProperty,MATCH(C900,Tenants,0)),""))</f>
        <v/>
      </c>
      <c r="E900" s="42">
        <f>IF(C900="","",IFERROR(INDEX(TenantUnit,MATCH(C900,Tenants,0)),""))</f>
        <v/>
      </c>
      <c r="F900" s="18" t="n"/>
      <c r="G900" s="18" t="n"/>
      <c r="H900" s="18" t="n"/>
      <c r="I900" s="18" t="n"/>
      <c r="J900" s="37" t="n"/>
      <c r="K900" s="37" t="n"/>
      <c r="L900" s="43">
        <f>IF(C900="","",SUMIFS($J$7:J900,$C$7:C900,C900)-SUMIFS($K$7:K900,$C$7:C900,C900))</f>
        <v/>
      </c>
      <c r="N900">
        <f>IF(AND(C900&lt;&gt;"",C900='Tenant Statement'!$C$6),COUNTIF($C$7:C900,'Tenant Statement'!$C$6),"")</f>
        <v/>
      </c>
    </row>
    <row r="901">
      <c r="B901" s="41" t="n"/>
      <c r="C901" s="18" t="n"/>
      <c r="D901" s="42">
        <f>IF(C901="","",IFERROR(INDEX(TenantProperty,MATCH(C901,Tenants,0)),""))</f>
        <v/>
      </c>
      <c r="E901" s="42">
        <f>IF(C901="","",IFERROR(INDEX(TenantUnit,MATCH(C901,Tenants,0)),""))</f>
        <v/>
      </c>
      <c r="F901" s="18" t="n"/>
      <c r="G901" s="18" t="n"/>
      <c r="H901" s="18" t="n"/>
      <c r="I901" s="18" t="n"/>
      <c r="J901" s="37" t="n"/>
      <c r="K901" s="37" t="n"/>
      <c r="L901" s="43">
        <f>IF(C901="","",SUMIFS($J$7:J901,$C$7:C901,C901)-SUMIFS($K$7:K901,$C$7:C901,C901))</f>
        <v/>
      </c>
      <c r="N901">
        <f>IF(AND(C901&lt;&gt;"",C901='Tenant Statement'!$C$6),COUNTIF($C$7:C901,'Tenant Statement'!$C$6),"")</f>
        <v/>
      </c>
    </row>
    <row r="902">
      <c r="B902" s="41" t="n"/>
      <c r="C902" s="18" t="n"/>
      <c r="D902" s="42">
        <f>IF(C902="","",IFERROR(INDEX(TenantProperty,MATCH(C902,Tenants,0)),""))</f>
        <v/>
      </c>
      <c r="E902" s="42">
        <f>IF(C902="","",IFERROR(INDEX(TenantUnit,MATCH(C902,Tenants,0)),""))</f>
        <v/>
      </c>
      <c r="F902" s="18" t="n"/>
      <c r="G902" s="18" t="n"/>
      <c r="H902" s="18" t="n"/>
      <c r="I902" s="18" t="n"/>
      <c r="J902" s="37" t="n"/>
      <c r="K902" s="37" t="n"/>
      <c r="L902" s="43">
        <f>IF(C902="","",SUMIFS($J$7:J902,$C$7:C902,C902)-SUMIFS($K$7:K902,$C$7:C902,C902))</f>
        <v/>
      </c>
      <c r="N902">
        <f>IF(AND(C902&lt;&gt;"",C902='Tenant Statement'!$C$6),COUNTIF($C$7:C902,'Tenant Statement'!$C$6),"")</f>
        <v/>
      </c>
    </row>
    <row r="903">
      <c r="B903" s="41" t="n"/>
      <c r="C903" s="18" t="n"/>
      <c r="D903" s="42">
        <f>IF(C903="","",IFERROR(INDEX(TenantProperty,MATCH(C903,Tenants,0)),""))</f>
        <v/>
      </c>
      <c r="E903" s="42">
        <f>IF(C903="","",IFERROR(INDEX(TenantUnit,MATCH(C903,Tenants,0)),""))</f>
        <v/>
      </c>
      <c r="F903" s="18" t="n"/>
      <c r="G903" s="18" t="n"/>
      <c r="H903" s="18" t="n"/>
      <c r="I903" s="18" t="n"/>
      <c r="J903" s="37" t="n"/>
      <c r="K903" s="37" t="n"/>
      <c r="L903" s="43">
        <f>IF(C903="","",SUMIFS($J$7:J903,$C$7:C903,C903)-SUMIFS($K$7:K903,$C$7:C903,C903))</f>
        <v/>
      </c>
      <c r="N903">
        <f>IF(AND(C903&lt;&gt;"",C903='Tenant Statement'!$C$6),COUNTIF($C$7:C903,'Tenant Statement'!$C$6),"")</f>
        <v/>
      </c>
    </row>
    <row r="904">
      <c r="B904" s="41" t="n"/>
      <c r="C904" s="18" t="n"/>
      <c r="D904" s="42">
        <f>IF(C904="","",IFERROR(INDEX(TenantProperty,MATCH(C904,Tenants,0)),""))</f>
        <v/>
      </c>
      <c r="E904" s="42">
        <f>IF(C904="","",IFERROR(INDEX(TenantUnit,MATCH(C904,Tenants,0)),""))</f>
        <v/>
      </c>
      <c r="F904" s="18" t="n"/>
      <c r="G904" s="18" t="n"/>
      <c r="H904" s="18" t="n"/>
      <c r="I904" s="18" t="n"/>
      <c r="J904" s="37" t="n"/>
      <c r="K904" s="37" t="n"/>
      <c r="L904" s="43">
        <f>IF(C904="","",SUMIFS($J$7:J904,$C$7:C904,C904)-SUMIFS($K$7:K904,$C$7:C904,C904))</f>
        <v/>
      </c>
      <c r="N904">
        <f>IF(AND(C904&lt;&gt;"",C904='Tenant Statement'!$C$6),COUNTIF($C$7:C904,'Tenant Statement'!$C$6),"")</f>
        <v/>
      </c>
    </row>
    <row r="905">
      <c r="B905" s="41" t="n"/>
      <c r="C905" s="18" t="n"/>
      <c r="D905" s="42">
        <f>IF(C905="","",IFERROR(INDEX(TenantProperty,MATCH(C905,Tenants,0)),""))</f>
        <v/>
      </c>
      <c r="E905" s="42">
        <f>IF(C905="","",IFERROR(INDEX(TenantUnit,MATCH(C905,Tenants,0)),""))</f>
        <v/>
      </c>
      <c r="F905" s="18" t="n"/>
      <c r="G905" s="18" t="n"/>
      <c r="H905" s="18" t="n"/>
      <c r="I905" s="18" t="n"/>
      <c r="J905" s="37" t="n"/>
      <c r="K905" s="37" t="n"/>
      <c r="L905" s="43">
        <f>IF(C905="","",SUMIFS($J$7:J905,$C$7:C905,C905)-SUMIFS($K$7:K905,$C$7:C905,C905))</f>
        <v/>
      </c>
      <c r="N905">
        <f>IF(AND(C905&lt;&gt;"",C905='Tenant Statement'!$C$6),COUNTIF($C$7:C905,'Tenant Statement'!$C$6),"")</f>
        <v/>
      </c>
    </row>
    <row r="906">
      <c r="B906" s="41" t="n"/>
      <c r="C906" s="18" t="n"/>
      <c r="D906" s="42">
        <f>IF(C906="","",IFERROR(INDEX(TenantProperty,MATCH(C906,Tenants,0)),""))</f>
        <v/>
      </c>
      <c r="E906" s="42">
        <f>IF(C906="","",IFERROR(INDEX(TenantUnit,MATCH(C906,Tenants,0)),""))</f>
        <v/>
      </c>
      <c r="F906" s="18" t="n"/>
      <c r="G906" s="18" t="n"/>
      <c r="H906" s="18" t="n"/>
      <c r="I906" s="18" t="n"/>
      <c r="J906" s="37" t="n"/>
      <c r="K906" s="37" t="n"/>
      <c r="L906" s="43">
        <f>IF(C906="","",SUMIFS($J$7:J906,$C$7:C906,C906)-SUMIFS($K$7:K906,$C$7:C906,C906))</f>
        <v/>
      </c>
      <c r="N906">
        <f>IF(AND(C906&lt;&gt;"",C906='Tenant Statement'!$C$6),COUNTIF($C$7:C906,'Tenant Statement'!$C$6),"")</f>
        <v/>
      </c>
    </row>
    <row r="907">
      <c r="B907" s="41" t="n"/>
      <c r="C907" s="18" t="n"/>
      <c r="D907" s="42">
        <f>IF(C907="","",IFERROR(INDEX(TenantProperty,MATCH(C907,Tenants,0)),""))</f>
        <v/>
      </c>
      <c r="E907" s="42">
        <f>IF(C907="","",IFERROR(INDEX(TenantUnit,MATCH(C907,Tenants,0)),""))</f>
        <v/>
      </c>
      <c r="F907" s="18" t="n"/>
      <c r="G907" s="18" t="n"/>
      <c r="H907" s="18" t="n"/>
      <c r="I907" s="18" t="n"/>
      <c r="J907" s="37" t="n"/>
      <c r="K907" s="37" t="n"/>
      <c r="L907" s="43">
        <f>IF(C907="","",SUMIFS($J$7:J907,$C$7:C907,C907)-SUMIFS($K$7:K907,$C$7:C907,C907))</f>
        <v/>
      </c>
      <c r="N907">
        <f>IF(AND(C907&lt;&gt;"",C907='Tenant Statement'!$C$6),COUNTIF($C$7:C907,'Tenant Statement'!$C$6),"")</f>
        <v/>
      </c>
    </row>
    <row r="908">
      <c r="B908" s="41" t="n"/>
      <c r="C908" s="18" t="n"/>
      <c r="D908" s="42">
        <f>IF(C908="","",IFERROR(INDEX(TenantProperty,MATCH(C908,Tenants,0)),""))</f>
        <v/>
      </c>
      <c r="E908" s="42">
        <f>IF(C908="","",IFERROR(INDEX(TenantUnit,MATCH(C908,Tenants,0)),""))</f>
        <v/>
      </c>
      <c r="F908" s="18" t="n"/>
      <c r="G908" s="18" t="n"/>
      <c r="H908" s="18" t="n"/>
      <c r="I908" s="18" t="n"/>
      <c r="J908" s="37" t="n"/>
      <c r="K908" s="37" t="n"/>
      <c r="L908" s="43">
        <f>IF(C908="","",SUMIFS($J$7:J908,$C$7:C908,C908)-SUMIFS($K$7:K908,$C$7:C908,C908))</f>
        <v/>
      </c>
      <c r="N908">
        <f>IF(AND(C908&lt;&gt;"",C908='Tenant Statement'!$C$6),COUNTIF($C$7:C908,'Tenant Statement'!$C$6),"")</f>
        <v/>
      </c>
    </row>
    <row r="909">
      <c r="B909" s="41" t="n"/>
      <c r="C909" s="18" t="n"/>
      <c r="D909" s="42">
        <f>IF(C909="","",IFERROR(INDEX(TenantProperty,MATCH(C909,Tenants,0)),""))</f>
        <v/>
      </c>
      <c r="E909" s="42">
        <f>IF(C909="","",IFERROR(INDEX(TenantUnit,MATCH(C909,Tenants,0)),""))</f>
        <v/>
      </c>
      <c r="F909" s="18" t="n"/>
      <c r="G909" s="18" t="n"/>
      <c r="H909" s="18" t="n"/>
      <c r="I909" s="18" t="n"/>
      <c r="J909" s="37" t="n"/>
      <c r="K909" s="37" t="n"/>
      <c r="L909" s="43">
        <f>IF(C909="","",SUMIFS($J$7:J909,$C$7:C909,C909)-SUMIFS($K$7:K909,$C$7:C909,C909))</f>
        <v/>
      </c>
      <c r="N909">
        <f>IF(AND(C909&lt;&gt;"",C909='Tenant Statement'!$C$6),COUNTIF($C$7:C909,'Tenant Statement'!$C$6),"")</f>
        <v/>
      </c>
    </row>
    <row r="910">
      <c r="B910" s="41" t="n"/>
      <c r="C910" s="18" t="n"/>
      <c r="D910" s="42">
        <f>IF(C910="","",IFERROR(INDEX(TenantProperty,MATCH(C910,Tenants,0)),""))</f>
        <v/>
      </c>
      <c r="E910" s="42">
        <f>IF(C910="","",IFERROR(INDEX(TenantUnit,MATCH(C910,Tenants,0)),""))</f>
        <v/>
      </c>
      <c r="F910" s="18" t="n"/>
      <c r="G910" s="18" t="n"/>
      <c r="H910" s="18" t="n"/>
      <c r="I910" s="18" t="n"/>
      <c r="J910" s="37" t="n"/>
      <c r="K910" s="37" t="n"/>
      <c r="L910" s="43">
        <f>IF(C910="","",SUMIFS($J$7:J910,$C$7:C910,C910)-SUMIFS($K$7:K910,$C$7:C910,C910))</f>
        <v/>
      </c>
      <c r="N910">
        <f>IF(AND(C910&lt;&gt;"",C910='Tenant Statement'!$C$6),COUNTIF($C$7:C910,'Tenant Statement'!$C$6),"")</f>
        <v/>
      </c>
    </row>
    <row r="911">
      <c r="B911" s="41" t="n"/>
      <c r="C911" s="18" t="n"/>
      <c r="D911" s="42">
        <f>IF(C911="","",IFERROR(INDEX(TenantProperty,MATCH(C911,Tenants,0)),""))</f>
        <v/>
      </c>
      <c r="E911" s="42">
        <f>IF(C911="","",IFERROR(INDEX(TenantUnit,MATCH(C911,Tenants,0)),""))</f>
        <v/>
      </c>
      <c r="F911" s="18" t="n"/>
      <c r="G911" s="18" t="n"/>
      <c r="H911" s="18" t="n"/>
      <c r="I911" s="18" t="n"/>
      <c r="J911" s="37" t="n"/>
      <c r="K911" s="37" t="n"/>
      <c r="L911" s="43">
        <f>IF(C911="","",SUMIFS($J$7:J911,$C$7:C911,C911)-SUMIFS($K$7:K911,$C$7:C911,C911))</f>
        <v/>
      </c>
      <c r="N911">
        <f>IF(AND(C911&lt;&gt;"",C911='Tenant Statement'!$C$6),COUNTIF($C$7:C911,'Tenant Statement'!$C$6),"")</f>
        <v/>
      </c>
    </row>
    <row r="912">
      <c r="B912" s="41" t="n"/>
      <c r="C912" s="18" t="n"/>
      <c r="D912" s="42">
        <f>IF(C912="","",IFERROR(INDEX(TenantProperty,MATCH(C912,Tenants,0)),""))</f>
        <v/>
      </c>
      <c r="E912" s="42">
        <f>IF(C912="","",IFERROR(INDEX(TenantUnit,MATCH(C912,Tenants,0)),""))</f>
        <v/>
      </c>
      <c r="F912" s="18" t="n"/>
      <c r="G912" s="18" t="n"/>
      <c r="H912" s="18" t="n"/>
      <c r="I912" s="18" t="n"/>
      <c r="J912" s="37" t="n"/>
      <c r="K912" s="37" t="n"/>
      <c r="L912" s="43">
        <f>IF(C912="","",SUMIFS($J$7:J912,$C$7:C912,C912)-SUMIFS($K$7:K912,$C$7:C912,C912))</f>
        <v/>
      </c>
      <c r="N912">
        <f>IF(AND(C912&lt;&gt;"",C912='Tenant Statement'!$C$6),COUNTIF($C$7:C912,'Tenant Statement'!$C$6),"")</f>
        <v/>
      </c>
    </row>
    <row r="913">
      <c r="B913" s="41" t="n"/>
      <c r="C913" s="18" t="n"/>
      <c r="D913" s="42">
        <f>IF(C913="","",IFERROR(INDEX(TenantProperty,MATCH(C913,Tenants,0)),""))</f>
        <v/>
      </c>
      <c r="E913" s="42">
        <f>IF(C913="","",IFERROR(INDEX(TenantUnit,MATCH(C913,Tenants,0)),""))</f>
        <v/>
      </c>
      <c r="F913" s="18" t="n"/>
      <c r="G913" s="18" t="n"/>
      <c r="H913" s="18" t="n"/>
      <c r="I913" s="18" t="n"/>
      <c r="J913" s="37" t="n"/>
      <c r="K913" s="37" t="n"/>
      <c r="L913" s="43">
        <f>IF(C913="","",SUMIFS($J$7:J913,$C$7:C913,C913)-SUMIFS($K$7:K913,$C$7:C913,C913))</f>
        <v/>
      </c>
      <c r="N913">
        <f>IF(AND(C913&lt;&gt;"",C913='Tenant Statement'!$C$6),COUNTIF($C$7:C913,'Tenant Statement'!$C$6),"")</f>
        <v/>
      </c>
    </row>
    <row r="914">
      <c r="B914" s="41" t="n"/>
      <c r="C914" s="18" t="n"/>
      <c r="D914" s="42">
        <f>IF(C914="","",IFERROR(INDEX(TenantProperty,MATCH(C914,Tenants,0)),""))</f>
        <v/>
      </c>
      <c r="E914" s="42">
        <f>IF(C914="","",IFERROR(INDEX(TenantUnit,MATCH(C914,Tenants,0)),""))</f>
        <v/>
      </c>
      <c r="F914" s="18" t="n"/>
      <c r="G914" s="18" t="n"/>
      <c r="H914" s="18" t="n"/>
      <c r="I914" s="18" t="n"/>
      <c r="J914" s="37" t="n"/>
      <c r="K914" s="37" t="n"/>
      <c r="L914" s="43">
        <f>IF(C914="","",SUMIFS($J$7:J914,$C$7:C914,C914)-SUMIFS($K$7:K914,$C$7:C914,C914))</f>
        <v/>
      </c>
      <c r="N914">
        <f>IF(AND(C914&lt;&gt;"",C914='Tenant Statement'!$C$6),COUNTIF($C$7:C914,'Tenant Statement'!$C$6),"")</f>
        <v/>
      </c>
    </row>
    <row r="915">
      <c r="B915" s="41" t="n"/>
      <c r="C915" s="18" t="n"/>
      <c r="D915" s="42">
        <f>IF(C915="","",IFERROR(INDEX(TenantProperty,MATCH(C915,Tenants,0)),""))</f>
        <v/>
      </c>
      <c r="E915" s="42">
        <f>IF(C915="","",IFERROR(INDEX(TenantUnit,MATCH(C915,Tenants,0)),""))</f>
        <v/>
      </c>
      <c r="F915" s="18" t="n"/>
      <c r="G915" s="18" t="n"/>
      <c r="H915" s="18" t="n"/>
      <c r="I915" s="18" t="n"/>
      <c r="J915" s="37" t="n"/>
      <c r="K915" s="37" t="n"/>
      <c r="L915" s="43">
        <f>IF(C915="","",SUMIFS($J$7:J915,$C$7:C915,C915)-SUMIFS($K$7:K915,$C$7:C915,C915))</f>
        <v/>
      </c>
      <c r="N915">
        <f>IF(AND(C915&lt;&gt;"",C915='Tenant Statement'!$C$6),COUNTIF($C$7:C915,'Tenant Statement'!$C$6),"")</f>
        <v/>
      </c>
    </row>
    <row r="916">
      <c r="B916" s="41" t="n"/>
      <c r="C916" s="18" t="n"/>
      <c r="D916" s="42">
        <f>IF(C916="","",IFERROR(INDEX(TenantProperty,MATCH(C916,Tenants,0)),""))</f>
        <v/>
      </c>
      <c r="E916" s="42">
        <f>IF(C916="","",IFERROR(INDEX(TenantUnit,MATCH(C916,Tenants,0)),""))</f>
        <v/>
      </c>
      <c r="F916" s="18" t="n"/>
      <c r="G916" s="18" t="n"/>
      <c r="H916" s="18" t="n"/>
      <c r="I916" s="18" t="n"/>
      <c r="J916" s="37" t="n"/>
      <c r="K916" s="37" t="n"/>
      <c r="L916" s="43">
        <f>IF(C916="","",SUMIFS($J$7:J916,$C$7:C916,C916)-SUMIFS($K$7:K916,$C$7:C916,C916))</f>
        <v/>
      </c>
      <c r="N916">
        <f>IF(AND(C916&lt;&gt;"",C916='Tenant Statement'!$C$6),COUNTIF($C$7:C916,'Tenant Statement'!$C$6),"")</f>
        <v/>
      </c>
    </row>
    <row r="917">
      <c r="B917" s="41" t="n"/>
      <c r="C917" s="18" t="n"/>
      <c r="D917" s="42">
        <f>IF(C917="","",IFERROR(INDEX(TenantProperty,MATCH(C917,Tenants,0)),""))</f>
        <v/>
      </c>
      <c r="E917" s="42">
        <f>IF(C917="","",IFERROR(INDEX(TenantUnit,MATCH(C917,Tenants,0)),""))</f>
        <v/>
      </c>
      <c r="F917" s="18" t="n"/>
      <c r="G917" s="18" t="n"/>
      <c r="H917" s="18" t="n"/>
      <c r="I917" s="18" t="n"/>
      <c r="J917" s="37" t="n"/>
      <c r="K917" s="37" t="n"/>
      <c r="L917" s="43">
        <f>IF(C917="","",SUMIFS($J$7:J917,$C$7:C917,C917)-SUMIFS($K$7:K917,$C$7:C917,C917))</f>
        <v/>
      </c>
      <c r="N917">
        <f>IF(AND(C917&lt;&gt;"",C917='Tenant Statement'!$C$6),COUNTIF($C$7:C917,'Tenant Statement'!$C$6),"")</f>
        <v/>
      </c>
    </row>
    <row r="918">
      <c r="B918" s="41" t="n"/>
      <c r="C918" s="18" t="n"/>
      <c r="D918" s="42">
        <f>IF(C918="","",IFERROR(INDEX(TenantProperty,MATCH(C918,Tenants,0)),""))</f>
        <v/>
      </c>
      <c r="E918" s="42">
        <f>IF(C918="","",IFERROR(INDEX(TenantUnit,MATCH(C918,Tenants,0)),""))</f>
        <v/>
      </c>
      <c r="F918" s="18" t="n"/>
      <c r="G918" s="18" t="n"/>
      <c r="H918" s="18" t="n"/>
      <c r="I918" s="18" t="n"/>
      <c r="J918" s="37" t="n"/>
      <c r="K918" s="37" t="n"/>
      <c r="L918" s="43">
        <f>IF(C918="","",SUMIFS($J$7:J918,$C$7:C918,C918)-SUMIFS($K$7:K918,$C$7:C918,C918))</f>
        <v/>
      </c>
      <c r="N918">
        <f>IF(AND(C918&lt;&gt;"",C918='Tenant Statement'!$C$6),COUNTIF($C$7:C918,'Tenant Statement'!$C$6),"")</f>
        <v/>
      </c>
    </row>
    <row r="919">
      <c r="B919" s="41" t="n"/>
      <c r="C919" s="18" t="n"/>
      <c r="D919" s="42">
        <f>IF(C919="","",IFERROR(INDEX(TenantProperty,MATCH(C919,Tenants,0)),""))</f>
        <v/>
      </c>
      <c r="E919" s="42">
        <f>IF(C919="","",IFERROR(INDEX(TenantUnit,MATCH(C919,Tenants,0)),""))</f>
        <v/>
      </c>
      <c r="F919" s="18" t="n"/>
      <c r="G919" s="18" t="n"/>
      <c r="H919" s="18" t="n"/>
      <c r="I919" s="18" t="n"/>
      <c r="J919" s="37" t="n"/>
      <c r="K919" s="37" t="n"/>
      <c r="L919" s="43">
        <f>IF(C919="","",SUMIFS($J$7:J919,$C$7:C919,C919)-SUMIFS($K$7:K919,$C$7:C919,C919))</f>
        <v/>
      </c>
      <c r="N919">
        <f>IF(AND(C919&lt;&gt;"",C919='Tenant Statement'!$C$6),COUNTIF($C$7:C919,'Tenant Statement'!$C$6),"")</f>
        <v/>
      </c>
    </row>
    <row r="920">
      <c r="B920" s="41" t="n"/>
      <c r="C920" s="18" t="n"/>
      <c r="D920" s="42">
        <f>IF(C920="","",IFERROR(INDEX(TenantProperty,MATCH(C920,Tenants,0)),""))</f>
        <v/>
      </c>
      <c r="E920" s="42">
        <f>IF(C920="","",IFERROR(INDEX(TenantUnit,MATCH(C920,Tenants,0)),""))</f>
        <v/>
      </c>
      <c r="F920" s="18" t="n"/>
      <c r="G920" s="18" t="n"/>
      <c r="H920" s="18" t="n"/>
      <c r="I920" s="18" t="n"/>
      <c r="J920" s="37" t="n"/>
      <c r="K920" s="37" t="n"/>
      <c r="L920" s="43">
        <f>IF(C920="","",SUMIFS($J$7:J920,$C$7:C920,C920)-SUMIFS($K$7:K920,$C$7:C920,C920))</f>
        <v/>
      </c>
      <c r="N920">
        <f>IF(AND(C920&lt;&gt;"",C920='Tenant Statement'!$C$6),COUNTIF($C$7:C920,'Tenant Statement'!$C$6),"")</f>
        <v/>
      </c>
    </row>
    <row r="921">
      <c r="B921" s="41" t="n"/>
      <c r="C921" s="18" t="n"/>
      <c r="D921" s="42">
        <f>IF(C921="","",IFERROR(INDEX(TenantProperty,MATCH(C921,Tenants,0)),""))</f>
        <v/>
      </c>
      <c r="E921" s="42">
        <f>IF(C921="","",IFERROR(INDEX(TenantUnit,MATCH(C921,Tenants,0)),""))</f>
        <v/>
      </c>
      <c r="F921" s="18" t="n"/>
      <c r="G921" s="18" t="n"/>
      <c r="H921" s="18" t="n"/>
      <c r="I921" s="18" t="n"/>
      <c r="J921" s="37" t="n"/>
      <c r="K921" s="37" t="n"/>
      <c r="L921" s="43">
        <f>IF(C921="","",SUMIFS($J$7:J921,$C$7:C921,C921)-SUMIFS($K$7:K921,$C$7:C921,C921))</f>
        <v/>
      </c>
      <c r="N921">
        <f>IF(AND(C921&lt;&gt;"",C921='Tenant Statement'!$C$6),COUNTIF($C$7:C921,'Tenant Statement'!$C$6),"")</f>
        <v/>
      </c>
    </row>
    <row r="922">
      <c r="B922" s="41" t="n"/>
      <c r="C922" s="18" t="n"/>
      <c r="D922" s="42">
        <f>IF(C922="","",IFERROR(INDEX(TenantProperty,MATCH(C922,Tenants,0)),""))</f>
        <v/>
      </c>
      <c r="E922" s="42">
        <f>IF(C922="","",IFERROR(INDEX(TenantUnit,MATCH(C922,Tenants,0)),""))</f>
        <v/>
      </c>
      <c r="F922" s="18" t="n"/>
      <c r="G922" s="18" t="n"/>
      <c r="H922" s="18" t="n"/>
      <c r="I922" s="18" t="n"/>
      <c r="J922" s="37" t="n"/>
      <c r="K922" s="37" t="n"/>
      <c r="L922" s="43">
        <f>IF(C922="","",SUMIFS($J$7:J922,$C$7:C922,C922)-SUMIFS($K$7:K922,$C$7:C922,C922))</f>
        <v/>
      </c>
      <c r="N922">
        <f>IF(AND(C922&lt;&gt;"",C922='Tenant Statement'!$C$6),COUNTIF($C$7:C922,'Tenant Statement'!$C$6),"")</f>
        <v/>
      </c>
    </row>
    <row r="923">
      <c r="B923" s="41" t="n"/>
      <c r="C923" s="18" t="n"/>
      <c r="D923" s="42">
        <f>IF(C923="","",IFERROR(INDEX(TenantProperty,MATCH(C923,Tenants,0)),""))</f>
        <v/>
      </c>
      <c r="E923" s="42">
        <f>IF(C923="","",IFERROR(INDEX(TenantUnit,MATCH(C923,Tenants,0)),""))</f>
        <v/>
      </c>
      <c r="F923" s="18" t="n"/>
      <c r="G923" s="18" t="n"/>
      <c r="H923" s="18" t="n"/>
      <c r="I923" s="18" t="n"/>
      <c r="J923" s="37" t="n"/>
      <c r="K923" s="37" t="n"/>
      <c r="L923" s="43">
        <f>IF(C923="","",SUMIFS($J$7:J923,$C$7:C923,C923)-SUMIFS($K$7:K923,$C$7:C923,C923))</f>
        <v/>
      </c>
      <c r="N923">
        <f>IF(AND(C923&lt;&gt;"",C923='Tenant Statement'!$C$6),COUNTIF($C$7:C923,'Tenant Statement'!$C$6),"")</f>
        <v/>
      </c>
    </row>
    <row r="924">
      <c r="B924" s="41" t="n"/>
      <c r="C924" s="18" t="n"/>
      <c r="D924" s="42">
        <f>IF(C924="","",IFERROR(INDEX(TenantProperty,MATCH(C924,Tenants,0)),""))</f>
        <v/>
      </c>
      <c r="E924" s="42">
        <f>IF(C924="","",IFERROR(INDEX(TenantUnit,MATCH(C924,Tenants,0)),""))</f>
        <v/>
      </c>
      <c r="F924" s="18" t="n"/>
      <c r="G924" s="18" t="n"/>
      <c r="H924" s="18" t="n"/>
      <c r="I924" s="18" t="n"/>
      <c r="J924" s="37" t="n"/>
      <c r="K924" s="37" t="n"/>
      <c r="L924" s="43">
        <f>IF(C924="","",SUMIFS($J$7:J924,$C$7:C924,C924)-SUMIFS($K$7:K924,$C$7:C924,C924))</f>
        <v/>
      </c>
      <c r="N924">
        <f>IF(AND(C924&lt;&gt;"",C924='Tenant Statement'!$C$6),COUNTIF($C$7:C924,'Tenant Statement'!$C$6),"")</f>
        <v/>
      </c>
    </row>
    <row r="925">
      <c r="B925" s="41" t="n"/>
      <c r="C925" s="18" t="n"/>
      <c r="D925" s="42">
        <f>IF(C925="","",IFERROR(INDEX(TenantProperty,MATCH(C925,Tenants,0)),""))</f>
        <v/>
      </c>
      <c r="E925" s="42">
        <f>IF(C925="","",IFERROR(INDEX(TenantUnit,MATCH(C925,Tenants,0)),""))</f>
        <v/>
      </c>
      <c r="F925" s="18" t="n"/>
      <c r="G925" s="18" t="n"/>
      <c r="H925" s="18" t="n"/>
      <c r="I925" s="18" t="n"/>
      <c r="J925" s="37" t="n"/>
      <c r="K925" s="37" t="n"/>
      <c r="L925" s="43">
        <f>IF(C925="","",SUMIFS($J$7:J925,$C$7:C925,C925)-SUMIFS($K$7:K925,$C$7:C925,C925))</f>
        <v/>
      </c>
      <c r="N925">
        <f>IF(AND(C925&lt;&gt;"",C925='Tenant Statement'!$C$6),COUNTIF($C$7:C925,'Tenant Statement'!$C$6),"")</f>
        <v/>
      </c>
    </row>
    <row r="926">
      <c r="B926" s="41" t="n"/>
      <c r="C926" s="18" t="n"/>
      <c r="D926" s="42">
        <f>IF(C926="","",IFERROR(INDEX(TenantProperty,MATCH(C926,Tenants,0)),""))</f>
        <v/>
      </c>
      <c r="E926" s="42">
        <f>IF(C926="","",IFERROR(INDEX(TenantUnit,MATCH(C926,Tenants,0)),""))</f>
        <v/>
      </c>
      <c r="F926" s="18" t="n"/>
      <c r="G926" s="18" t="n"/>
      <c r="H926" s="18" t="n"/>
      <c r="I926" s="18" t="n"/>
      <c r="J926" s="37" t="n"/>
      <c r="K926" s="37" t="n"/>
      <c r="L926" s="43">
        <f>IF(C926="","",SUMIFS($J$7:J926,$C$7:C926,C926)-SUMIFS($K$7:K926,$C$7:C926,C926))</f>
        <v/>
      </c>
      <c r="N926">
        <f>IF(AND(C926&lt;&gt;"",C926='Tenant Statement'!$C$6),COUNTIF($C$7:C926,'Tenant Statement'!$C$6),"")</f>
        <v/>
      </c>
    </row>
    <row r="927">
      <c r="B927" s="41" t="n"/>
      <c r="C927" s="18" t="n"/>
      <c r="D927" s="42">
        <f>IF(C927="","",IFERROR(INDEX(TenantProperty,MATCH(C927,Tenants,0)),""))</f>
        <v/>
      </c>
      <c r="E927" s="42">
        <f>IF(C927="","",IFERROR(INDEX(TenantUnit,MATCH(C927,Tenants,0)),""))</f>
        <v/>
      </c>
      <c r="F927" s="18" t="n"/>
      <c r="G927" s="18" t="n"/>
      <c r="H927" s="18" t="n"/>
      <c r="I927" s="18" t="n"/>
      <c r="J927" s="37" t="n"/>
      <c r="K927" s="37" t="n"/>
      <c r="L927" s="43">
        <f>IF(C927="","",SUMIFS($J$7:J927,$C$7:C927,C927)-SUMIFS($K$7:K927,$C$7:C927,C927))</f>
        <v/>
      </c>
      <c r="N927">
        <f>IF(AND(C927&lt;&gt;"",C927='Tenant Statement'!$C$6),COUNTIF($C$7:C927,'Tenant Statement'!$C$6),"")</f>
        <v/>
      </c>
    </row>
    <row r="928">
      <c r="B928" s="41" t="n"/>
      <c r="C928" s="18" t="n"/>
      <c r="D928" s="42">
        <f>IF(C928="","",IFERROR(INDEX(TenantProperty,MATCH(C928,Tenants,0)),""))</f>
        <v/>
      </c>
      <c r="E928" s="42">
        <f>IF(C928="","",IFERROR(INDEX(TenantUnit,MATCH(C928,Tenants,0)),""))</f>
        <v/>
      </c>
      <c r="F928" s="18" t="n"/>
      <c r="G928" s="18" t="n"/>
      <c r="H928" s="18" t="n"/>
      <c r="I928" s="18" t="n"/>
      <c r="J928" s="37" t="n"/>
      <c r="K928" s="37" t="n"/>
      <c r="L928" s="43">
        <f>IF(C928="","",SUMIFS($J$7:J928,$C$7:C928,C928)-SUMIFS($K$7:K928,$C$7:C928,C928))</f>
        <v/>
      </c>
      <c r="N928">
        <f>IF(AND(C928&lt;&gt;"",C928='Tenant Statement'!$C$6),COUNTIF($C$7:C928,'Tenant Statement'!$C$6),"")</f>
        <v/>
      </c>
    </row>
    <row r="929">
      <c r="B929" s="41" t="n"/>
      <c r="C929" s="18" t="n"/>
      <c r="D929" s="42">
        <f>IF(C929="","",IFERROR(INDEX(TenantProperty,MATCH(C929,Tenants,0)),""))</f>
        <v/>
      </c>
      <c r="E929" s="42">
        <f>IF(C929="","",IFERROR(INDEX(TenantUnit,MATCH(C929,Tenants,0)),""))</f>
        <v/>
      </c>
      <c r="F929" s="18" t="n"/>
      <c r="G929" s="18" t="n"/>
      <c r="H929" s="18" t="n"/>
      <c r="I929" s="18" t="n"/>
      <c r="J929" s="37" t="n"/>
      <c r="K929" s="37" t="n"/>
      <c r="L929" s="43">
        <f>IF(C929="","",SUMIFS($J$7:J929,$C$7:C929,C929)-SUMIFS($K$7:K929,$C$7:C929,C929))</f>
        <v/>
      </c>
      <c r="N929">
        <f>IF(AND(C929&lt;&gt;"",C929='Tenant Statement'!$C$6),COUNTIF($C$7:C929,'Tenant Statement'!$C$6),"")</f>
        <v/>
      </c>
    </row>
    <row r="930">
      <c r="B930" s="41" t="n"/>
      <c r="C930" s="18" t="n"/>
      <c r="D930" s="42">
        <f>IF(C930="","",IFERROR(INDEX(TenantProperty,MATCH(C930,Tenants,0)),""))</f>
        <v/>
      </c>
      <c r="E930" s="42">
        <f>IF(C930="","",IFERROR(INDEX(TenantUnit,MATCH(C930,Tenants,0)),""))</f>
        <v/>
      </c>
      <c r="F930" s="18" t="n"/>
      <c r="G930" s="18" t="n"/>
      <c r="H930" s="18" t="n"/>
      <c r="I930" s="18" t="n"/>
      <c r="J930" s="37" t="n"/>
      <c r="K930" s="37" t="n"/>
      <c r="L930" s="43">
        <f>IF(C930="","",SUMIFS($J$7:J930,$C$7:C930,C930)-SUMIFS($K$7:K930,$C$7:C930,C930))</f>
        <v/>
      </c>
      <c r="N930">
        <f>IF(AND(C930&lt;&gt;"",C930='Tenant Statement'!$C$6),COUNTIF($C$7:C930,'Tenant Statement'!$C$6),"")</f>
        <v/>
      </c>
    </row>
    <row r="931">
      <c r="B931" s="41" t="n"/>
      <c r="C931" s="18" t="n"/>
      <c r="D931" s="42">
        <f>IF(C931="","",IFERROR(INDEX(TenantProperty,MATCH(C931,Tenants,0)),""))</f>
        <v/>
      </c>
      <c r="E931" s="42">
        <f>IF(C931="","",IFERROR(INDEX(TenantUnit,MATCH(C931,Tenants,0)),""))</f>
        <v/>
      </c>
      <c r="F931" s="18" t="n"/>
      <c r="G931" s="18" t="n"/>
      <c r="H931" s="18" t="n"/>
      <c r="I931" s="18" t="n"/>
      <c r="J931" s="37" t="n"/>
      <c r="K931" s="37" t="n"/>
      <c r="L931" s="43">
        <f>IF(C931="","",SUMIFS($J$7:J931,$C$7:C931,C931)-SUMIFS($K$7:K931,$C$7:C931,C931))</f>
        <v/>
      </c>
      <c r="N931">
        <f>IF(AND(C931&lt;&gt;"",C931='Tenant Statement'!$C$6),COUNTIF($C$7:C931,'Tenant Statement'!$C$6),"")</f>
        <v/>
      </c>
    </row>
    <row r="932">
      <c r="B932" s="41" t="n"/>
      <c r="C932" s="18" t="n"/>
      <c r="D932" s="42">
        <f>IF(C932="","",IFERROR(INDEX(TenantProperty,MATCH(C932,Tenants,0)),""))</f>
        <v/>
      </c>
      <c r="E932" s="42">
        <f>IF(C932="","",IFERROR(INDEX(TenantUnit,MATCH(C932,Tenants,0)),""))</f>
        <v/>
      </c>
      <c r="F932" s="18" t="n"/>
      <c r="G932" s="18" t="n"/>
      <c r="H932" s="18" t="n"/>
      <c r="I932" s="18" t="n"/>
      <c r="J932" s="37" t="n"/>
      <c r="K932" s="37" t="n"/>
      <c r="L932" s="43">
        <f>IF(C932="","",SUMIFS($J$7:J932,$C$7:C932,C932)-SUMIFS($K$7:K932,$C$7:C932,C932))</f>
        <v/>
      </c>
      <c r="N932">
        <f>IF(AND(C932&lt;&gt;"",C932='Tenant Statement'!$C$6),COUNTIF($C$7:C932,'Tenant Statement'!$C$6),"")</f>
        <v/>
      </c>
    </row>
    <row r="933">
      <c r="B933" s="41" t="n"/>
      <c r="C933" s="18" t="n"/>
      <c r="D933" s="42">
        <f>IF(C933="","",IFERROR(INDEX(TenantProperty,MATCH(C933,Tenants,0)),""))</f>
        <v/>
      </c>
      <c r="E933" s="42">
        <f>IF(C933="","",IFERROR(INDEX(TenantUnit,MATCH(C933,Tenants,0)),""))</f>
        <v/>
      </c>
      <c r="F933" s="18" t="n"/>
      <c r="G933" s="18" t="n"/>
      <c r="H933" s="18" t="n"/>
      <c r="I933" s="18" t="n"/>
      <c r="J933" s="37" t="n"/>
      <c r="K933" s="37" t="n"/>
      <c r="L933" s="43">
        <f>IF(C933="","",SUMIFS($J$7:J933,$C$7:C933,C933)-SUMIFS($K$7:K933,$C$7:C933,C933))</f>
        <v/>
      </c>
      <c r="N933">
        <f>IF(AND(C933&lt;&gt;"",C933='Tenant Statement'!$C$6),COUNTIF($C$7:C933,'Tenant Statement'!$C$6),"")</f>
        <v/>
      </c>
    </row>
    <row r="934">
      <c r="B934" s="41" t="n"/>
      <c r="C934" s="18" t="n"/>
      <c r="D934" s="42">
        <f>IF(C934="","",IFERROR(INDEX(TenantProperty,MATCH(C934,Tenants,0)),""))</f>
        <v/>
      </c>
      <c r="E934" s="42">
        <f>IF(C934="","",IFERROR(INDEX(TenantUnit,MATCH(C934,Tenants,0)),""))</f>
        <v/>
      </c>
      <c r="F934" s="18" t="n"/>
      <c r="G934" s="18" t="n"/>
      <c r="H934" s="18" t="n"/>
      <c r="I934" s="18" t="n"/>
      <c r="J934" s="37" t="n"/>
      <c r="K934" s="37" t="n"/>
      <c r="L934" s="43">
        <f>IF(C934="","",SUMIFS($J$7:J934,$C$7:C934,C934)-SUMIFS($K$7:K934,$C$7:C934,C934))</f>
        <v/>
      </c>
      <c r="N934">
        <f>IF(AND(C934&lt;&gt;"",C934='Tenant Statement'!$C$6),COUNTIF($C$7:C934,'Tenant Statement'!$C$6),"")</f>
        <v/>
      </c>
    </row>
    <row r="935">
      <c r="B935" s="41" t="n"/>
      <c r="C935" s="18" t="n"/>
      <c r="D935" s="42">
        <f>IF(C935="","",IFERROR(INDEX(TenantProperty,MATCH(C935,Tenants,0)),""))</f>
        <v/>
      </c>
      <c r="E935" s="42">
        <f>IF(C935="","",IFERROR(INDEX(TenantUnit,MATCH(C935,Tenants,0)),""))</f>
        <v/>
      </c>
      <c r="F935" s="18" t="n"/>
      <c r="G935" s="18" t="n"/>
      <c r="H935" s="18" t="n"/>
      <c r="I935" s="18" t="n"/>
      <c r="J935" s="37" t="n"/>
      <c r="K935" s="37" t="n"/>
      <c r="L935" s="43">
        <f>IF(C935="","",SUMIFS($J$7:J935,$C$7:C935,C935)-SUMIFS($K$7:K935,$C$7:C935,C935))</f>
        <v/>
      </c>
      <c r="N935">
        <f>IF(AND(C935&lt;&gt;"",C935='Tenant Statement'!$C$6),COUNTIF($C$7:C935,'Tenant Statement'!$C$6),"")</f>
        <v/>
      </c>
    </row>
    <row r="936">
      <c r="B936" s="41" t="n"/>
      <c r="C936" s="18" t="n"/>
      <c r="D936" s="42">
        <f>IF(C936="","",IFERROR(INDEX(TenantProperty,MATCH(C936,Tenants,0)),""))</f>
        <v/>
      </c>
      <c r="E936" s="42">
        <f>IF(C936="","",IFERROR(INDEX(TenantUnit,MATCH(C936,Tenants,0)),""))</f>
        <v/>
      </c>
      <c r="F936" s="18" t="n"/>
      <c r="G936" s="18" t="n"/>
      <c r="H936" s="18" t="n"/>
      <c r="I936" s="18" t="n"/>
      <c r="J936" s="37" t="n"/>
      <c r="K936" s="37" t="n"/>
      <c r="L936" s="43">
        <f>IF(C936="","",SUMIFS($J$7:J936,$C$7:C936,C936)-SUMIFS($K$7:K936,$C$7:C936,C936))</f>
        <v/>
      </c>
      <c r="N936">
        <f>IF(AND(C936&lt;&gt;"",C936='Tenant Statement'!$C$6),COUNTIF($C$7:C936,'Tenant Statement'!$C$6),"")</f>
        <v/>
      </c>
    </row>
    <row r="937">
      <c r="B937" s="41" t="n"/>
      <c r="C937" s="18" t="n"/>
      <c r="D937" s="42">
        <f>IF(C937="","",IFERROR(INDEX(TenantProperty,MATCH(C937,Tenants,0)),""))</f>
        <v/>
      </c>
      <c r="E937" s="42">
        <f>IF(C937="","",IFERROR(INDEX(TenantUnit,MATCH(C937,Tenants,0)),""))</f>
        <v/>
      </c>
      <c r="F937" s="18" t="n"/>
      <c r="G937" s="18" t="n"/>
      <c r="H937" s="18" t="n"/>
      <c r="I937" s="18" t="n"/>
      <c r="J937" s="37" t="n"/>
      <c r="K937" s="37" t="n"/>
      <c r="L937" s="43">
        <f>IF(C937="","",SUMIFS($J$7:J937,$C$7:C937,C937)-SUMIFS($K$7:K937,$C$7:C937,C937))</f>
        <v/>
      </c>
      <c r="N937">
        <f>IF(AND(C937&lt;&gt;"",C937='Tenant Statement'!$C$6),COUNTIF($C$7:C937,'Tenant Statement'!$C$6),"")</f>
        <v/>
      </c>
    </row>
    <row r="938">
      <c r="B938" s="41" t="n"/>
      <c r="C938" s="18" t="n"/>
      <c r="D938" s="42">
        <f>IF(C938="","",IFERROR(INDEX(TenantProperty,MATCH(C938,Tenants,0)),""))</f>
        <v/>
      </c>
      <c r="E938" s="42">
        <f>IF(C938="","",IFERROR(INDEX(TenantUnit,MATCH(C938,Tenants,0)),""))</f>
        <v/>
      </c>
      <c r="F938" s="18" t="n"/>
      <c r="G938" s="18" t="n"/>
      <c r="H938" s="18" t="n"/>
      <c r="I938" s="18" t="n"/>
      <c r="J938" s="37" t="n"/>
      <c r="K938" s="37" t="n"/>
      <c r="L938" s="43">
        <f>IF(C938="","",SUMIFS($J$7:J938,$C$7:C938,C938)-SUMIFS($K$7:K938,$C$7:C938,C938))</f>
        <v/>
      </c>
      <c r="N938">
        <f>IF(AND(C938&lt;&gt;"",C938='Tenant Statement'!$C$6),COUNTIF($C$7:C938,'Tenant Statement'!$C$6),"")</f>
        <v/>
      </c>
    </row>
    <row r="939">
      <c r="B939" s="41" t="n"/>
      <c r="C939" s="18" t="n"/>
      <c r="D939" s="42">
        <f>IF(C939="","",IFERROR(INDEX(TenantProperty,MATCH(C939,Tenants,0)),""))</f>
        <v/>
      </c>
      <c r="E939" s="42">
        <f>IF(C939="","",IFERROR(INDEX(TenantUnit,MATCH(C939,Tenants,0)),""))</f>
        <v/>
      </c>
      <c r="F939" s="18" t="n"/>
      <c r="G939" s="18" t="n"/>
      <c r="H939" s="18" t="n"/>
      <c r="I939" s="18" t="n"/>
      <c r="J939" s="37" t="n"/>
      <c r="K939" s="37" t="n"/>
      <c r="L939" s="43">
        <f>IF(C939="","",SUMIFS($J$7:J939,$C$7:C939,C939)-SUMIFS($K$7:K939,$C$7:C939,C939))</f>
        <v/>
      </c>
      <c r="N939">
        <f>IF(AND(C939&lt;&gt;"",C939='Tenant Statement'!$C$6),COUNTIF($C$7:C939,'Tenant Statement'!$C$6),"")</f>
        <v/>
      </c>
    </row>
    <row r="940">
      <c r="B940" s="41" t="n"/>
      <c r="C940" s="18" t="n"/>
      <c r="D940" s="42">
        <f>IF(C940="","",IFERROR(INDEX(TenantProperty,MATCH(C940,Tenants,0)),""))</f>
        <v/>
      </c>
      <c r="E940" s="42">
        <f>IF(C940="","",IFERROR(INDEX(TenantUnit,MATCH(C940,Tenants,0)),""))</f>
        <v/>
      </c>
      <c r="F940" s="18" t="n"/>
      <c r="G940" s="18" t="n"/>
      <c r="H940" s="18" t="n"/>
      <c r="I940" s="18" t="n"/>
      <c r="J940" s="37" t="n"/>
      <c r="K940" s="37" t="n"/>
      <c r="L940" s="43">
        <f>IF(C940="","",SUMIFS($J$7:J940,$C$7:C940,C940)-SUMIFS($K$7:K940,$C$7:C940,C940))</f>
        <v/>
      </c>
      <c r="N940">
        <f>IF(AND(C940&lt;&gt;"",C940='Tenant Statement'!$C$6),COUNTIF($C$7:C940,'Tenant Statement'!$C$6),"")</f>
        <v/>
      </c>
    </row>
    <row r="941">
      <c r="B941" s="41" t="n"/>
      <c r="C941" s="18" t="n"/>
      <c r="D941" s="42">
        <f>IF(C941="","",IFERROR(INDEX(TenantProperty,MATCH(C941,Tenants,0)),""))</f>
        <v/>
      </c>
      <c r="E941" s="42">
        <f>IF(C941="","",IFERROR(INDEX(TenantUnit,MATCH(C941,Tenants,0)),""))</f>
        <v/>
      </c>
      <c r="F941" s="18" t="n"/>
      <c r="G941" s="18" t="n"/>
      <c r="H941" s="18" t="n"/>
      <c r="I941" s="18" t="n"/>
      <c r="J941" s="37" t="n"/>
      <c r="K941" s="37" t="n"/>
      <c r="L941" s="43">
        <f>IF(C941="","",SUMIFS($J$7:J941,$C$7:C941,C941)-SUMIFS($K$7:K941,$C$7:C941,C941))</f>
        <v/>
      </c>
      <c r="N941">
        <f>IF(AND(C941&lt;&gt;"",C941='Tenant Statement'!$C$6),COUNTIF($C$7:C941,'Tenant Statement'!$C$6),"")</f>
        <v/>
      </c>
    </row>
    <row r="942">
      <c r="B942" s="41" t="n"/>
      <c r="C942" s="18" t="n"/>
      <c r="D942" s="42">
        <f>IF(C942="","",IFERROR(INDEX(TenantProperty,MATCH(C942,Tenants,0)),""))</f>
        <v/>
      </c>
      <c r="E942" s="42">
        <f>IF(C942="","",IFERROR(INDEX(TenantUnit,MATCH(C942,Tenants,0)),""))</f>
        <v/>
      </c>
      <c r="F942" s="18" t="n"/>
      <c r="G942" s="18" t="n"/>
      <c r="H942" s="18" t="n"/>
      <c r="I942" s="18" t="n"/>
      <c r="J942" s="37" t="n"/>
      <c r="K942" s="37" t="n"/>
      <c r="L942" s="43">
        <f>IF(C942="","",SUMIFS($J$7:J942,$C$7:C942,C942)-SUMIFS($K$7:K942,$C$7:C942,C942))</f>
        <v/>
      </c>
      <c r="N942">
        <f>IF(AND(C942&lt;&gt;"",C942='Tenant Statement'!$C$6),COUNTIF($C$7:C942,'Tenant Statement'!$C$6),"")</f>
        <v/>
      </c>
    </row>
    <row r="943">
      <c r="B943" s="41" t="n"/>
      <c r="C943" s="18" t="n"/>
      <c r="D943" s="42">
        <f>IF(C943="","",IFERROR(INDEX(TenantProperty,MATCH(C943,Tenants,0)),""))</f>
        <v/>
      </c>
      <c r="E943" s="42">
        <f>IF(C943="","",IFERROR(INDEX(TenantUnit,MATCH(C943,Tenants,0)),""))</f>
        <v/>
      </c>
      <c r="F943" s="18" t="n"/>
      <c r="G943" s="18" t="n"/>
      <c r="H943" s="18" t="n"/>
      <c r="I943" s="18" t="n"/>
      <c r="J943" s="37" t="n"/>
      <c r="K943" s="37" t="n"/>
      <c r="L943" s="43">
        <f>IF(C943="","",SUMIFS($J$7:J943,$C$7:C943,C943)-SUMIFS($K$7:K943,$C$7:C943,C943))</f>
        <v/>
      </c>
      <c r="N943">
        <f>IF(AND(C943&lt;&gt;"",C943='Tenant Statement'!$C$6),COUNTIF($C$7:C943,'Tenant Statement'!$C$6),"")</f>
        <v/>
      </c>
    </row>
    <row r="944">
      <c r="B944" s="41" t="n"/>
      <c r="C944" s="18" t="n"/>
      <c r="D944" s="42">
        <f>IF(C944="","",IFERROR(INDEX(TenantProperty,MATCH(C944,Tenants,0)),""))</f>
        <v/>
      </c>
      <c r="E944" s="42">
        <f>IF(C944="","",IFERROR(INDEX(TenantUnit,MATCH(C944,Tenants,0)),""))</f>
        <v/>
      </c>
      <c r="F944" s="18" t="n"/>
      <c r="G944" s="18" t="n"/>
      <c r="H944" s="18" t="n"/>
      <c r="I944" s="18" t="n"/>
      <c r="J944" s="37" t="n"/>
      <c r="K944" s="37" t="n"/>
      <c r="L944" s="43">
        <f>IF(C944="","",SUMIFS($J$7:J944,$C$7:C944,C944)-SUMIFS($K$7:K944,$C$7:C944,C944))</f>
        <v/>
      </c>
      <c r="N944">
        <f>IF(AND(C944&lt;&gt;"",C944='Tenant Statement'!$C$6),COUNTIF($C$7:C944,'Tenant Statement'!$C$6),"")</f>
        <v/>
      </c>
    </row>
    <row r="945">
      <c r="B945" s="41" t="n"/>
      <c r="C945" s="18" t="n"/>
      <c r="D945" s="42">
        <f>IF(C945="","",IFERROR(INDEX(TenantProperty,MATCH(C945,Tenants,0)),""))</f>
        <v/>
      </c>
      <c r="E945" s="42">
        <f>IF(C945="","",IFERROR(INDEX(TenantUnit,MATCH(C945,Tenants,0)),""))</f>
        <v/>
      </c>
      <c r="F945" s="18" t="n"/>
      <c r="G945" s="18" t="n"/>
      <c r="H945" s="18" t="n"/>
      <c r="I945" s="18" t="n"/>
      <c r="J945" s="37" t="n"/>
      <c r="K945" s="37" t="n"/>
      <c r="L945" s="43">
        <f>IF(C945="","",SUMIFS($J$7:J945,$C$7:C945,C945)-SUMIFS($K$7:K945,$C$7:C945,C945))</f>
        <v/>
      </c>
      <c r="N945">
        <f>IF(AND(C945&lt;&gt;"",C945='Tenant Statement'!$C$6),COUNTIF($C$7:C945,'Tenant Statement'!$C$6),"")</f>
        <v/>
      </c>
    </row>
    <row r="946">
      <c r="B946" s="41" t="n"/>
      <c r="C946" s="18" t="n"/>
      <c r="D946" s="42">
        <f>IF(C946="","",IFERROR(INDEX(TenantProperty,MATCH(C946,Tenants,0)),""))</f>
        <v/>
      </c>
      <c r="E946" s="42">
        <f>IF(C946="","",IFERROR(INDEX(TenantUnit,MATCH(C946,Tenants,0)),""))</f>
        <v/>
      </c>
      <c r="F946" s="18" t="n"/>
      <c r="G946" s="18" t="n"/>
      <c r="H946" s="18" t="n"/>
      <c r="I946" s="18" t="n"/>
      <c r="J946" s="37" t="n"/>
      <c r="K946" s="37" t="n"/>
      <c r="L946" s="43">
        <f>IF(C946="","",SUMIFS($J$7:J946,$C$7:C946,C946)-SUMIFS($K$7:K946,$C$7:C946,C946))</f>
        <v/>
      </c>
      <c r="N946">
        <f>IF(AND(C946&lt;&gt;"",C946='Tenant Statement'!$C$6),COUNTIF($C$7:C946,'Tenant Statement'!$C$6),"")</f>
        <v/>
      </c>
    </row>
    <row r="947">
      <c r="B947" s="41" t="n"/>
      <c r="C947" s="18" t="n"/>
      <c r="D947" s="42">
        <f>IF(C947="","",IFERROR(INDEX(TenantProperty,MATCH(C947,Tenants,0)),""))</f>
        <v/>
      </c>
      <c r="E947" s="42">
        <f>IF(C947="","",IFERROR(INDEX(TenantUnit,MATCH(C947,Tenants,0)),""))</f>
        <v/>
      </c>
      <c r="F947" s="18" t="n"/>
      <c r="G947" s="18" t="n"/>
      <c r="H947" s="18" t="n"/>
      <c r="I947" s="18" t="n"/>
      <c r="J947" s="37" t="n"/>
      <c r="K947" s="37" t="n"/>
      <c r="L947" s="43">
        <f>IF(C947="","",SUMIFS($J$7:J947,$C$7:C947,C947)-SUMIFS($K$7:K947,$C$7:C947,C947))</f>
        <v/>
      </c>
      <c r="N947">
        <f>IF(AND(C947&lt;&gt;"",C947='Tenant Statement'!$C$6),COUNTIF($C$7:C947,'Tenant Statement'!$C$6),"")</f>
        <v/>
      </c>
    </row>
    <row r="948">
      <c r="B948" s="41" t="n"/>
      <c r="C948" s="18" t="n"/>
      <c r="D948" s="42">
        <f>IF(C948="","",IFERROR(INDEX(TenantProperty,MATCH(C948,Tenants,0)),""))</f>
        <v/>
      </c>
      <c r="E948" s="42">
        <f>IF(C948="","",IFERROR(INDEX(TenantUnit,MATCH(C948,Tenants,0)),""))</f>
        <v/>
      </c>
      <c r="F948" s="18" t="n"/>
      <c r="G948" s="18" t="n"/>
      <c r="H948" s="18" t="n"/>
      <c r="I948" s="18" t="n"/>
      <c r="J948" s="37" t="n"/>
      <c r="K948" s="37" t="n"/>
      <c r="L948" s="43">
        <f>IF(C948="","",SUMIFS($J$7:J948,$C$7:C948,C948)-SUMIFS($K$7:K948,$C$7:C948,C948))</f>
        <v/>
      </c>
      <c r="N948">
        <f>IF(AND(C948&lt;&gt;"",C948='Tenant Statement'!$C$6),COUNTIF($C$7:C948,'Tenant Statement'!$C$6),"")</f>
        <v/>
      </c>
    </row>
    <row r="949">
      <c r="B949" s="41" t="n"/>
      <c r="C949" s="18" t="n"/>
      <c r="D949" s="42">
        <f>IF(C949="","",IFERROR(INDEX(TenantProperty,MATCH(C949,Tenants,0)),""))</f>
        <v/>
      </c>
      <c r="E949" s="42">
        <f>IF(C949="","",IFERROR(INDEX(TenantUnit,MATCH(C949,Tenants,0)),""))</f>
        <v/>
      </c>
      <c r="F949" s="18" t="n"/>
      <c r="G949" s="18" t="n"/>
      <c r="H949" s="18" t="n"/>
      <c r="I949" s="18" t="n"/>
      <c r="J949" s="37" t="n"/>
      <c r="K949" s="37" t="n"/>
      <c r="L949" s="43">
        <f>IF(C949="","",SUMIFS($J$7:J949,$C$7:C949,C949)-SUMIFS($K$7:K949,$C$7:C949,C949))</f>
        <v/>
      </c>
      <c r="N949">
        <f>IF(AND(C949&lt;&gt;"",C949='Tenant Statement'!$C$6),COUNTIF($C$7:C949,'Tenant Statement'!$C$6),"")</f>
        <v/>
      </c>
    </row>
    <row r="950">
      <c r="B950" s="41" t="n"/>
      <c r="C950" s="18" t="n"/>
      <c r="D950" s="42">
        <f>IF(C950="","",IFERROR(INDEX(TenantProperty,MATCH(C950,Tenants,0)),""))</f>
        <v/>
      </c>
      <c r="E950" s="42">
        <f>IF(C950="","",IFERROR(INDEX(TenantUnit,MATCH(C950,Tenants,0)),""))</f>
        <v/>
      </c>
      <c r="F950" s="18" t="n"/>
      <c r="G950" s="18" t="n"/>
      <c r="H950" s="18" t="n"/>
      <c r="I950" s="18" t="n"/>
      <c r="J950" s="37" t="n"/>
      <c r="K950" s="37" t="n"/>
      <c r="L950" s="43">
        <f>IF(C950="","",SUMIFS($J$7:J950,$C$7:C950,C950)-SUMIFS($K$7:K950,$C$7:C950,C950))</f>
        <v/>
      </c>
      <c r="N950">
        <f>IF(AND(C950&lt;&gt;"",C950='Tenant Statement'!$C$6),COUNTIF($C$7:C950,'Tenant Statement'!$C$6),"")</f>
        <v/>
      </c>
    </row>
    <row r="951">
      <c r="B951" s="41" t="n"/>
      <c r="C951" s="18" t="n"/>
      <c r="D951" s="42">
        <f>IF(C951="","",IFERROR(INDEX(TenantProperty,MATCH(C951,Tenants,0)),""))</f>
        <v/>
      </c>
      <c r="E951" s="42">
        <f>IF(C951="","",IFERROR(INDEX(TenantUnit,MATCH(C951,Tenants,0)),""))</f>
        <v/>
      </c>
      <c r="F951" s="18" t="n"/>
      <c r="G951" s="18" t="n"/>
      <c r="H951" s="18" t="n"/>
      <c r="I951" s="18" t="n"/>
      <c r="J951" s="37" t="n"/>
      <c r="K951" s="37" t="n"/>
      <c r="L951" s="43">
        <f>IF(C951="","",SUMIFS($J$7:J951,$C$7:C951,C951)-SUMIFS($K$7:K951,$C$7:C951,C951))</f>
        <v/>
      </c>
      <c r="N951">
        <f>IF(AND(C951&lt;&gt;"",C951='Tenant Statement'!$C$6),COUNTIF($C$7:C951,'Tenant Statement'!$C$6),"")</f>
        <v/>
      </c>
    </row>
    <row r="952">
      <c r="B952" s="41" t="n"/>
      <c r="C952" s="18" t="n"/>
      <c r="D952" s="42">
        <f>IF(C952="","",IFERROR(INDEX(TenantProperty,MATCH(C952,Tenants,0)),""))</f>
        <v/>
      </c>
      <c r="E952" s="42">
        <f>IF(C952="","",IFERROR(INDEX(TenantUnit,MATCH(C952,Tenants,0)),""))</f>
        <v/>
      </c>
      <c r="F952" s="18" t="n"/>
      <c r="G952" s="18" t="n"/>
      <c r="H952" s="18" t="n"/>
      <c r="I952" s="18" t="n"/>
      <c r="J952" s="37" t="n"/>
      <c r="K952" s="37" t="n"/>
      <c r="L952" s="43">
        <f>IF(C952="","",SUMIFS($J$7:J952,$C$7:C952,C952)-SUMIFS($K$7:K952,$C$7:C952,C952))</f>
        <v/>
      </c>
      <c r="N952">
        <f>IF(AND(C952&lt;&gt;"",C952='Tenant Statement'!$C$6),COUNTIF($C$7:C952,'Tenant Statement'!$C$6),"")</f>
        <v/>
      </c>
    </row>
    <row r="953">
      <c r="B953" s="41" t="n"/>
      <c r="C953" s="18" t="n"/>
      <c r="D953" s="42">
        <f>IF(C953="","",IFERROR(INDEX(TenantProperty,MATCH(C953,Tenants,0)),""))</f>
        <v/>
      </c>
      <c r="E953" s="42">
        <f>IF(C953="","",IFERROR(INDEX(TenantUnit,MATCH(C953,Tenants,0)),""))</f>
        <v/>
      </c>
      <c r="F953" s="18" t="n"/>
      <c r="G953" s="18" t="n"/>
      <c r="H953" s="18" t="n"/>
      <c r="I953" s="18" t="n"/>
      <c r="J953" s="37" t="n"/>
      <c r="K953" s="37" t="n"/>
      <c r="L953" s="43">
        <f>IF(C953="","",SUMIFS($J$7:J953,$C$7:C953,C953)-SUMIFS($K$7:K953,$C$7:C953,C953))</f>
        <v/>
      </c>
      <c r="N953">
        <f>IF(AND(C953&lt;&gt;"",C953='Tenant Statement'!$C$6),COUNTIF($C$7:C953,'Tenant Statement'!$C$6),"")</f>
        <v/>
      </c>
    </row>
    <row r="954">
      <c r="B954" s="41" t="n"/>
      <c r="C954" s="18" t="n"/>
      <c r="D954" s="42">
        <f>IF(C954="","",IFERROR(INDEX(TenantProperty,MATCH(C954,Tenants,0)),""))</f>
        <v/>
      </c>
      <c r="E954" s="42">
        <f>IF(C954="","",IFERROR(INDEX(TenantUnit,MATCH(C954,Tenants,0)),""))</f>
        <v/>
      </c>
      <c r="F954" s="18" t="n"/>
      <c r="G954" s="18" t="n"/>
      <c r="H954" s="18" t="n"/>
      <c r="I954" s="18" t="n"/>
      <c r="J954" s="37" t="n"/>
      <c r="K954" s="37" t="n"/>
      <c r="L954" s="43">
        <f>IF(C954="","",SUMIFS($J$7:J954,$C$7:C954,C954)-SUMIFS($K$7:K954,$C$7:C954,C954))</f>
        <v/>
      </c>
      <c r="N954">
        <f>IF(AND(C954&lt;&gt;"",C954='Tenant Statement'!$C$6),COUNTIF($C$7:C954,'Tenant Statement'!$C$6),"")</f>
        <v/>
      </c>
    </row>
    <row r="955">
      <c r="B955" s="41" t="n"/>
      <c r="C955" s="18" t="n"/>
      <c r="D955" s="42">
        <f>IF(C955="","",IFERROR(INDEX(TenantProperty,MATCH(C955,Tenants,0)),""))</f>
        <v/>
      </c>
      <c r="E955" s="42">
        <f>IF(C955="","",IFERROR(INDEX(TenantUnit,MATCH(C955,Tenants,0)),""))</f>
        <v/>
      </c>
      <c r="F955" s="18" t="n"/>
      <c r="G955" s="18" t="n"/>
      <c r="H955" s="18" t="n"/>
      <c r="I955" s="18" t="n"/>
      <c r="J955" s="37" t="n"/>
      <c r="K955" s="37" t="n"/>
      <c r="L955" s="43">
        <f>IF(C955="","",SUMIFS($J$7:J955,$C$7:C955,C955)-SUMIFS($K$7:K955,$C$7:C955,C955))</f>
        <v/>
      </c>
      <c r="N955">
        <f>IF(AND(C955&lt;&gt;"",C955='Tenant Statement'!$C$6),COUNTIF($C$7:C955,'Tenant Statement'!$C$6),"")</f>
        <v/>
      </c>
    </row>
    <row r="956">
      <c r="B956" s="41" t="n"/>
      <c r="C956" s="18" t="n"/>
      <c r="D956" s="42">
        <f>IF(C956="","",IFERROR(INDEX(TenantProperty,MATCH(C956,Tenants,0)),""))</f>
        <v/>
      </c>
      <c r="E956" s="42">
        <f>IF(C956="","",IFERROR(INDEX(TenantUnit,MATCH(C956,Tenants,0)),""))</f>
        <v/>
      </c>
      <c r="F956" s="18" t="n"/>
      <c r="G956" s="18" t="n"/>
      <c r="H956" s="18" t="n"/>
      <c r="I956" s="18" t="n"/>
      <c r="J956" s="37" t="n"/>
      <c r="K956" s="37" t="n"/>
      <c r="L956" s="43">
        <f>IF(C956="","",SUMIFS($J$7:J956,$C$7:C956,C956)-SUMIFS($K$7:K956,$C$7:C956,C956))</f>
        <v/>
      </c>
      <c r="N956">
        <f>IF(AND(C956&lt;&gt;"",C956='Tenant Statement'!$C$6),COUNTIF($C$7:C956,'Tenant Statement'!$C$6),"")</f>
        <v/>
      </c>
    </row>
    <row r="957">
      <c r="B957" s="41" t="n"/>
      <c r="C957" s="18" t="n"/>
      <c r="D957" s="42">
        <f>IF(C957="","",IFERROR(INDEX(TenantProperty,MATCH(C957,Tenants,0)),""))</f>
        <v/>
      </c>
      <c r="E957" s="42">
        <f>IF(C957="","",IFERROR(INDEX(TenantUnit,MATCH(C957,Tenants,0)),""))</f>
        <v/>
      </c>
      <c r="F957" s="18" t="n"/>
      <c r="G957" s="18" t="n"/>
      <c r="H957" s="18" t="n"/>
      <c r="I957" s="18" t="n"/>
      <c r="J957" s="37" t="n"/>
      <c r="K957" s="37" t="n"/>
      <c r="L957" s="43">
        <f>IF(C957="","",SUMIFS($J$7:J957,$C$7:C957,C957)-SUMIFS($K$7:K957,$C$7:C957,C957))</f>
        <v/>
      </c>
      <c r="N957">
        <f>IF(AND(C957&lt;&gt;"",C957='Tenant Statement'!$C$6),COUNTIF($C$7:C957,'Tenant Statement'!$C$6),"")</f>
        <v/>
      </c>
    </row>
    <row r="958">
      <c r="B958" s="41" t="n"/>
      <c r="C958" s="18" t="n"/>
      <c r="D958" s="42">
        <f>IF(C958="","",IFERROR(INDEX(TenantProperty,MATCH(C958,Tenants,0)),""))</f>
        <v/>
      </c>
      <c r="E958" s="42">
        <f>IF(C958="","",IFERROR(INDEX(TenantUnit,MATCH(C958,Tenants,0)),""))</f>
        <v/>
      </c>
      <c r="F958" s="18" t="n"/>
      <c r="G958" s="18" t="n"/>
      <c r="H958" s="18" t="n"/>
      <c r="I958" s="18" t="n"/>
      <c r="J958" s="37" t="n"/>
      <c r="K958" s="37" t="n"/>
      <c r="L958" s="43">
        <f>IF(C958="","",SUMIFS($J$7:J958,$C$7:C958,C958)-SUMIFS($K$7:K958,$C$7:C958,C958))</f>
        <v/>
      </c>
      <c r="N958">
        <f>IF(AND(C958&lt;&gt;"",C958='Tenant Statement'!$C$6),COUNTIF($C$7:C958,'Tenant Statement'!$C$6),"")</f>
        <v/>
      </c>
    </row>
    <row r="959">
      <c r="B959" s="41" t="n"/>
      <c r="C959" s="18" t="n"/>
      <c r="D959" s="42">
        <f>IF(C959="","",IFERROR(INDEX(TenantProperty,MATCH(C959,Tenants,0)),""))</f>
        <v/>
      </c>
      <c r="E959" s="42">
        <f>IF(C959="","",IFERROR(INDEX(TenantUnit,MATCH(C959,Tenants,0)),""))</f>
        <v/>
      </c>
      <c r="F959" s="18" t="n"/>
      <c r="G959" s="18" t="n"/>
      <c r="H959" s="18" t="n"/>
      <c r="I959" s="18" t="n"/>
      <c r="J959" s="37" t="n"/>
      <c r="K959" s="37" t="n"/>
      <c r="L959" s="43">
        <f>IF(C959="","",SUMIFS($J$7:J959,$C$7:C959,C959)-SUMIFS($K$7:K959,$C$7:C959,C959))</f>
        <v/>
      </c>
      <c r="N959">
        <f>IF(AND(C959&lt;&gt;"",C959='Tenant Statement'!$C$6),COUNTIF($C$7:C959,'Tenant Statement'!$C$6),"")</f>
        <v/>
      </c>
    </row>
    <row r="960">
      <c r="B960" s="41" t="n"/>
      <c r="C960" s="18" t="n"/>
      <c r="D960" s="42">
        <f>IF(C960="","",IFERROR(INDEX(TenantProperty,MATCH(C960,Tenants,0)),""))</f>
        <v/>
      </c>
      <c r="E960" s="42">
        <f>IF(C960="","",IFERROR(INDEX(TenantUnit,MATCH(C960,Tenants,0)),""))</f>
        <v/>
      </c>
      <c r="F960" s="18" t="n"/>
      <c r="G960" s="18" t="n"/>
      <c r="H960" s="18" t="n"/>
      <c r="I960" s="18" t="n"/>
      <c r="J960" s="37" t="n"/>
      <c r="K960" s="37" t="n"/>
      <c r="L960" s="43">
        <f>IF(C960="","",SUMIFS($J$7:J960,$C$7:C960,C960)-SUMIFS($K$7:K960,$C$7:C960,C960))</f>
        <v/>
      </c>
      <c r="N960">
        <f>IF(AND(C960&lt;&gt;"",C960='Tenant Statement'!$C$6),COUNTIF($C$7:C960,'Tenant Statement'!$C$6),"")</f>
        <v/>
      </c>
    </row>
    <row r="961">
      <c r="B961" s="41" t="n"/>
      <c r="C961" s="18" t="n"/>
      <c r="D961" s="42">
        <f>IF(C961="","",IFERROR(INDEX(TenantProperty,MATCH(C961,Tenants,0)),""))</f>
        <v/>
      </c>
      <c r="E961" s="42">
        <f>IF(C961="","",IFERROR(INDEX(TenantUnit,MATCH(C961,Tenants,0)),""))</f>
        <v/>
      </c>
      <c r="F961" s="18" t="n"/>
      <c r="G961" s="18" t="n"/>
      <c r="H961" s="18" t="n"/>
      <c r="I961" s="18" t="n"/>
      <c r="J961" s="37" t="n"/>
      <c r="K961" s="37" t="n"/>
      <c r="L961" s="43">
        <f>IF(C961="","",SUMIFS($J$7:J961,$C$7:C961,C961)-SUMIFS($K$7:K961,$C$7:C961,C961))</f>
        <v/>
      </c>
      <c r="N961">
        <f>IF(AND(C961&lt;&gt;"",C961='Tenant Statement'!$C$6),COUNTIF($C$7:C961,'Tenant Statement'!$C$6),"")</f>
        <v/>
      </c>
    </row>
    <row r="962">
      <c r="B962" s="41" t="n"/>
      <c r="C962" s="18" t="n"/>
      <c r="D962" s="42">
        <f>IF(C962="","",IFERROR(INDEX(TenantProperty,MATCH(C962,Tenants,0)),""))</f>
        <v/>
      </c>
      <c r="E962" s="42">
        <f>IF(C962="","",IFERROR(INDEX(TenantUnit,MATCH(C962,Tenants,0)),""))</f>
        <v/>
      </c>
      <c r="F962" s="18" t="n"/>
      <c r="G962" s="18" t="n"/>
      <c r="H962" s="18" t="n"/>
      <c r="I962" s="18" t="n"/>
      <c r="J962" s="37" t="n"/>
      <c r="K962" s="37" t="n"/>
      <c r="L962" s="43">
        <f>IF(C962="","",SUMIFS($J$7:J962,$C$7:C962,C962)-SUMIFS($K$7:K962,$C$7:C962,C962))</f>
        <v/>
      </c>
      <c r="N962">
        <f>IF(AND(C962&lt;&gt;"",C962='Tenant Statement'!$C$6),COUNTIF($C$7:C962,'Tenant Statement'!$C$6),"")</f>
        <v/>
      </c>
    </row>
    <row r="963">
      <c r="B963" s="41" t="n"/>
      <c r="C963" s="18" t="n"/>
      <c r="D963" s="42">
        <f>IF(C963="","",IFERROR(INDEX(TenantProperty,MATCH(C963,Tenants,0)),""))</f>
        <v/>
      </c>
      <c r="E963" s="42">
        <f>IF(C963="","",IFERROR(INDEX(TenantUnit,MATCH(C963,Tenants,0)),""))</f>
        <v/>
      </c>
      <c r="F963" s="18" t="n"/>
      <c r="G963" s="18" t="n"/>
      <c r="H963" s="18" t="n"/>
      <c r="I963" s="18" t="n"/>
      <c r="J963" s="37" t="n"/>
      <c r="K963" s="37" t="n"/>
      <c r="L963" s="43">
        <f>IF(C963="","",SUMIFS($J$7:J963,$C$7:C963,C963)-SUMIFS($K$7:K963,$C$7:C963,C963))</f>
        <v/>
      </c>
      <c r="N963">
        <f>IF(AND(C963&lt;&gt;"",C963='Tenant Statement'!$C$6),COUNTIF($C$7:C963,'Tenant Statement'!$C$6),"")</f>
        <v/>
      </c>
    </row>
    <row r="964">
      <c r="B964" s="41" t="n"/>
      <c r="C964" s="18" t="n"/>
      <c r="D964" s="42">
        <f>IF(C964="","",IFERROR(INDEX(TenantProperty,MATCH(C964,Tenants,0)),""))</f>
        <v/>
      </c>
      <c r="E964" s="42">
        <f>IF(C964="","",IFERROR(INDEX(TenantUnit,MATCH(C964,Tenants,0)),""))</f>
        <v/>
      </c>
      <c r="F964" s="18" t="n"/>
      <c r="G964" s="18" t="n"/>
      <c r="H964" s="18" t="n"/>
      <c r="I964" s="18" t="n"/>
      <c r="J964" s="37" t="n"/>
      <c r="K964" s="37" t="n"/>
      <c r="L964" s="43">
        <f>IF(C964="","",SUMIFS($J$7:J964,$C$7:C964,C964)-SUMIFS($K$7:K964,$C$7:C964,C964))</f>
        <v/>
      </c>
      <c r="N964">
        <f>IF(AND(C964&lt;&gt;"",C964='Tenant Statement'!$C$6),COUNTIF($C$7:C964,'Tenant Statement'!$C$6),"")</f>
        <v/>
      </c>
    </row>
    <row r="965">
      <c r="B965" s="41" t="n"/>
      <c r="C965" s="18" t="n"/>
      <c r="D965" s="42">
        <f>IF(C965="","",IFERROR(INDEX(TenantProperty,MATCH(C965,Tenants,0)),""))</f>
        <v/>
      </c>
      <c r="E965" s="42">
        <f>IF(C965="","",IFERROR(INDEX(TenantUnit,MATCH(C965,Tenants,0)),""))</f>
        <v/>
      </c>
      <c r="F965" s="18" t="n"/>
      <c r="G965" s="18" t="n"/>
      <c r="H965" s="18" t="n"/>
      <c r="I965" s="18" t="n"/>
      <c r="J965" s="37" t="n"/>
      <c r="K965" s="37" t="n"/>
      <c r="L965" s="43">
        <f>IF(C965="","",SUMIFS($J$7:J965,$C$7:C965,C965)-SUMIFS($K$7:K965,$C$7:C965,C965))</f>
        <v/>
      </c>
      <c r="N965">
        <f>IF(AND(C965&lt;&gt;"",C965='Tenant Statement'!$C$6),COUNTIF($C$7:C965,'Tenant Statement'!$C$6),"")</f>
        <v/>
      </c>
    </row>
    <row r="966">
      <c r="B966" s="41" t="n"/>
      <c r="C966" s="18" t="n"/>
      <c r="D966" s="42">
        <f>IF(C966="","",IFERROR(INDEX(TenantProperty,MATCH(C966,Tenants,0)),""))</f>
        <v/>
      </c>
      <c r="E966" s="42">
        <f>IF(C966="","",IFERROR(INDEX(TenantUnit,MATCH(C966,Tenants,0)),""))</f>
        <v/>
      </c>
      <c r="F966" s="18" t="n"/>
      <c r="G966" s="18" t="n"/>
      <c r="H966" s="18" t="n"/>
      <c r="I966" s="18" t="n"/>
      <c r="J966" s="37" t="n"/>
      <c r="K966" s="37" t="n"/>
      <c r="L966" s="43">
        <f>IF(C966="","",SUMIFS($J$7:J966,$C$7:C966,C966)-SUMIFS($K$7:K966,$C$7:C966,C966))</f>
        <v/>
      </c>
      <c r="N966">
        <f>IF(AND(C966&lt;&gt;"",C966='Tenant Statement'!$C$6),COUNTIF($C$7:C966,'Tenant Statement'!$C$6),"")</f>
        <v/>
      </c>
    </row>
    <row r="967">
      <c r="B967" s="41" t="n"/>
      <c r="C967" s="18" t="n"/>
      <c r="D967" s="42">
        <f>IF(C967="","",IFERROR(INDEX(TenantProperty,MATCH(C967,Tenants,0)),""))</f>
        <v/>
      </c>
      <c r="E967" s="42">
        <f>IF(C967="","",IFERROR(INDEX(TenantUnit,MATCH(C967,Tenants,0)),""))</f>
        <v/>
      </c>
      <c r="F967" s="18" t="n"/>
      <c r="G967" s="18" t="n"/>
      <c r="H967" s="18" t="n"/>
      <c r="I967" s="18" t="n"/>
      <c r="J967" s="37" t="n"/>
      <c r="K967" s="37" t="n"/>
      <c r="L967" s="43">
        <f>IF(C967="","",SUMIFS($J$7:J967,$C$7:C967,C967)-SUMIFS($K$7:K967,$C$7:C967,C967))</f>
        <v/>
      </c>
      <c r="N967">
        <f>IF(AND(C967&lt;&gt;"",C967='Tenant Statement'!$C$6),COUNTIF($C$7:C967,'Tenant Statement'!$C$6),"")</f>
        <v/>
      </c>
    </row>
    <row r="968">
      <c r="B968" s="41" t="n"/>
      <c r="C968" s="18" t="n"/>
      <c r="D968" s="42">
        <f>IF(C968="","",IFERROR(INDEX(TenantProperty,MATCH(C968,Tenants,0)),""))</f>
        <v/>
      </c>
      <c r="E968" s="42">
        <f>IF(C968="","",IFERROR(INDEX(TenantUnit,MATCH(C968,Tenants,0)),""))</f>
        <v/>
      </c>
      <c r="F968" s="18" t="n"/>
      <c r="G968" s="18" t="n"/>
      <c r="H968" s="18" t="n"/>
      <c r="I968" s="18" t="n"/>
      <c r="J968" s="37" t="n"/>
      <c r="K968" s="37" t="n"/>
      <c r="L968" s="43">
        <f>IF(C968="","",SUMIFS($J$7:J968,$C$7:C968,C968)-SUMIFS($K$7:K968,$C$7:C968,C968))</f>
        <v/>
      </c>
      <c r="N968">
        <f>IF(AND(C968&lt;&gt;"",C968='Tenant Statement'!$C$6),COUNTIF($C$7:C968,'Tenant Statement'!$C$6),"")</f>
        <v/>
      </c>
    </row>
    <row r="969">
      <c r="B969" s="41" t="n"/>
      <c r="C969" s="18" t="n"/>
      <c r="D969" s="42">
        <f>IF(C969="","",IFERROR(INDEX(TenantProperty,MATCH(C969,Tenants,0)),""))</f>
        <v/>
      </c>
      <c r="E969" s="42">
        <f>IF(C969="","",IFERROR(INDEX(TenantUnit,MATCH(C969,Tenants,0)),""))</f>
        <v/>
      </c>
      <c r="F969" s="18" t="n"/>
      <c r="G969" s="18" t="n"/>
      <c r="H969" s="18" t="n"/>
      <c r="I969" s="18" t="n"/>
      <c r="J969" s="37" t="n"/>
      <c r="K969" s="37" t="n"/>
      <c r="L969" s="43">
        <f>IF(C969="","",SUMIFS($J$7:J969,$C$7:C969,C969)-SUMIFS($K$7:K969,$C$7:C969,C969))</f>
        <v/>
      </c>
      <c r="N969">
        <f>IF(AND(C969&lt;&gt;"",C969='Tenant Statement'!$C$6),COUNTIF($C$7:C969,'Tenant Statement'!$C$6),"")</f>
        <v/>
      </c>
    </row>
    <row r="970">
      <c r="B970" s="41" t="n"/>
      <c r="C970" s="18" t="n"/>
      <c r="D970" s="42">
        <f>IF(C970="","",IFERROR(INDEX(TenantProperty,MATCH(C970,Tenants,0)),""))</f>
        <v/>
      </c>
      <c r="E970" s="42">
        <f>IF(C970="","",IFERROR(INDEX(TenantUnit,MATCH(C970,Tenants,0)),""))</f>
        <v/>
      </c>
      <c r="F970" s="18" t="n"/>
      <c r="G970" s="18" t="n"/>
      <c r="H970" s="18" t="n"/>
      <c r="I970" s="18" t="n"/>
      <c r="J970" s="37" t="n"/>
      <c r="K970" s="37" t="n"/>
      <c r="L970" s="43">
        <f>IF(C970="","",SUMIFS($J$7:J970,$C$7:C970,C970)-SUMIFS($K$7:K970,$C$7:C970,C970))</f>
        <v/>
      </c>
      <c r="N970">
        <f>IF(AND(C970&lt;&gt;"",C970='Tenant Statement'!$C$6),COUNTIF($C$7:C970,'Tenant Statement'!$C$6),"")</f>
        <v/>
      </c>
    </row>
    <row r="971">
      <c r="B971" s="41" t="n"/>
      <c r="C971" s="18" t="n"/>
      <c r="D971" s="42">
        <f>IF(C971="","",IFERROR(INDEX(TenantProperty,MATCH(C971,Tenants,0)),""))</f>
        <v/>
      </c>
      <c r="E971" s="42">
        <f>IF(C971="","",IFERROR(INDEX(TenantUnit,MATCH(C971,Tenants,0)),""))</f>
        <v/>
      </c>
      <c r="F971" s="18" t="n"/>
      <c r="G971" s="18" t="n"/>
      <c r="H971" s="18" t="n"/>
      <c r="I971" s="18" t="n"/>
      <c r="J971" s="37" t="n"/>
      <c r="K971" s="37" t="n"/>
      <c r="L971" s="43">
        <f>IF(C971="","",SUMIFS($J$7:J971,$C$7:C971,C971)-SUMIFS($K$7:K971,$C$7:C971,C971))</f>
        <v/>
      </c>
      <c r="N971">
        <f>IF(AND(C971&lt;&gt;"",C971='Tenant Statement'!$C$6),COUNTIF($C$7:C971,'Tenant Statement'!$C$6),"")</f>
        <v/>
      </c>
    </row>
    <row r="972">
      <c r="B972" s="41" t="n"/>
      <c r="C972" s="18" t="n"/>
      <c r="D972" s="42">
        <f>IF(C972="","",IFERROR(INDEX(TenantProperty,MATCH(C972,Tenants,0)),""))</f>
        <v/>
      </c>
      <c r="E972" s="42">
        <f>IF(C972="","",IFERROR(INDEX(TenantUnit,MATCH(C972,Tenants,0)),""))</f>
        <v/>
      </c>
      <c r="F972" s="18" t="n"/>
      <c r="G972" s="18" t="n"/>
      <c r="H972" s="18" t="n"/>
      <c r="I972" s="18" t="n"/>
      <c r="J972" s="37" t="n"/>
      <c r="K972" s="37" t="n"/>
      <c r="L972" s="43">
        <f>IF(C972="","",SUMIFS($J$7:J972,$C$7:C972,C972)-SUMIFS($K$7:K972,$C$7:C972,C972))</f>
        <v/>
      </c>
      <c r="N972">
        <f>IF(AND(C972&lt;&gt;"",C972='Tenant Statement'!$C$6),COUNTIF($C$7:C972,'Tenant Statement'!$C$6),"")</f>
        <v/>
      </c>
    </row>
    <row r="973">
      <c r="B973" s="41" t="n"/>
      <c r="C973" s="18" t="n"/>
      <c r="D973" s="42">
        <f>IF(C973="","",IFERROR(INDEX(TenantProperty,MATCH(C973,Tenants,0)),""))</f>
        <v/>
      </c>
      <c r="E973" s="42">
        <f>IF(C973="","",IFERROR(INDEX(TenantUnit,MATCH(C973,Tenants,0)),""))</f>
        <v/>
      </c>
      <c r="F973" s="18" t="n"/>
      <c r="G973" s="18" t="n"/>
      <c r="H973" s="18" t="n"/>
      <c r="I973" s="18" t="n"/>
      <c r="J973" s="37" t="n"/>
      <c r="K973" s="37" t="n"/>
      <c r="L973" s="43">
        <f>IF(C973="","",SUMIFS($J$7:J973,$C$7:C973,C973)-SUMIFS($K$7:K973,$C$7:C973,C973))</f>
        <v/>
      </c>
      <c r="N973">
        <f>IF(AND(C973&lt;&gt;"",C973='Tenant Statement'!$C$6),COUNTIF($C$7:C973,'Tenant Statement'!$C$6),"")</f>
        <v/>
      </c>
    </row>
    <row r="974">
      <c r="B974" s="41" t="n"/>
      <c r="C974" s="18" t="n"/>
      <c r="D974" s="42">
        <f>IF(C974="","",IFERROR(INDEX(TenantProperty,MATCH(C974,Tenants,0)),""))</f>
        <v/>
      </c>
      <c r="E974" s="42">
        <f>IF(C974="","",IFERROR(INDEX(TenantUnit,MATCH(C974,Tenants,0)),""))</f>
        <v/>
      </c>
      <c r="F974" s="18" t="n"/>
      <c r="G974" s="18" t="n"/>
      <c r="H974" s="18" t="n"/>
      <c r="I974" s="18" t="n"/>
      <c r="J974" s="37" t="n"/>
      <c r="K974" s="37" t="n"/>
      <c r="L974" s="43">
        <f>IF(C974="","",SUMIFS($J$7:J974,$C$7:C974,C974)-SUMIFS($K$7:K974,$C$7:C974,C974))</f>
        <v/>
      </c>
      <c r="N974">
        <f>IF(AND(C974&lt;&gt;"",C974='Tenant Statement'!$C$6),COUNTIF($C$7:C974,'Tenant Statement'!$C$6),"")</f>
        <v/>
      </c>
    </row>
    <row r="975">
      <c r="B975" s="41" t="n"/>
      <c r="C975" s="18" t="n"/>
      <c r="D975" s="42">
        <f>IF(C975="","",IFERROR(INDEX(TenantProperty,MATCH(C975,Tenants,0)),""))</f>
        <v/>
      </c>
      <c r="E975" s="42">
        <f>IF(C975="","",IFERROR(INDEX(TenantUnit,MATCH(C975,Tenants,0)),""))</f>
        <v/>
      </c>
      <c r="F975" s="18" t="n"/>
      <c r="G975" s="18" t="n"/>
      <c r="H975" s="18" t="n"/>
      <c r="I975" s="18" t="n"/>
      <c r="J975" s="37" t="n"/>
      <c r="K975" s="37" t="n"/>
      <c r="L975" s="43">
        <f>IF(C975="","",SUMIFS($J$7:J975,$C$7:C975,C975)-SUMIFS($K$7:K975,$C$7:C975,C975))</f>
        <v/>
      </c>
      <c r="N975">
        <f>IF(AND(C975&lt;&gt;"",C975='Tenant Statement'!$C$6),COUNTIF($C$7:C975,'Tenant Statement'!$C$6),"")</f>
        <v/>
      </c>
    </row>
    <row r="976">
      <c r="B976" s="41" t="n"/>
      <c r="C976" s="18" t="n"/>
      <c r="D976" s="42">
        <f>IF(C976="","",IFERROR(INDEX(TenantProperty,MATCH(C976,Tenants,0)),""))</f>
        <v/>
      </c>
      <c r="E976" s="42">
        <f>IF(C976="","",IFERROR(INDEX(TenantUnit,MATCH(C976,Tenants,0)),""))</f>
        <v/>
      </c>
      <c r="F976" s="18" t="n"/>
      <c r="G976" s="18" t="n"/>
      <c r="H976" s="18" t="n"/>
      <c r="I976" s="18" t="n"/>
      <c r="J976" s="37" t="n"/>
      <c r="K976" s="37" t="n"/>
      <c r="L976" s="43">
        <f>IF(C976="","",SUMIFS($J$7:J976,$C$7:C976,C976)-SUMIFS($K$7:K976,$C$7:C976,C976))</f>
        <v/>
      </c>
      <c r="N976">
        <f>IF(AND(C976&lt;&gt;"",C976='Tenant Statement'!$C$6),COUNTIF($C$7:C976,'Tenant Statement'!$C$6),"")</f>
        <v/>
      </c>
    </row>
    <row r="977">
      <c r="B977" s="41" t="n"/>
      <c r="C977" s="18" t="n"/>
      <c r="D977" s="42">
        <f>IF(C977="","",IFERROR(INDEX(TenantProperty,MATCH(C977,Tenants,0)),""))</f>
        <v/>
      </c>
      <c r="E977" s="42">
        <f>IF(C977="","",IFERROR(INDEX(TenantUnit,MATCH(C977,Tenants,0)),""))</f>
        <v/>
      </c>
      <c r="F977" s="18" t="n"/>
      <c r="G977" s="18" t="n"/>
      <c r="H977" s="18" t="n"/>
      <c r="I977" s="18" t="n"/>
      <c r="J977" s="37" t="n"/>
      <c r="K977" s="37" t="n"/>
      <c r="L977" s="43">
        <f>IF(C977="","",SUMIFS($J$7:J977,$C$7:C977,C977)-SUMIFS($K$7:K977,$C$7:C977,C977))</f>
        <v/>
      </c>
      <c r="N977">
        <f>IF(AND(C977&lt;&gt;"",C977='Tenant Statement'!$C$6),COUNTIF($C$7:C977,'Tenant Statement'!$C$6),"")</f>
        <v/>
      </c>
    </row>
    <row r="978">
      <c r="B978" s="41" t="n"/>
      <c r="C978" s="18" t="n"/>
      <c r="D978" s="42">
        <f>IF(C978="","",IFERROR(INDEX(TenantProperty,MATCH(C978,Tenants,0)),""))</f>
        <v/>
      </c>
      <c r="E978" s="42">
        <f>IF(C978="","",IFERROR(INDEX(TenantUnit,MATCH(C978,Tenants,0)),""))</f>
        <v/>
      </c>
      <c r="F978" s="18" t="n"/>
      <c r="G978" s="18" t="n"/>
      <c r="H978" s="18" t="n"/>
      <c r="I978" s="18" t="n"/>
      <c r="J978" s="37" t="n"/>
      <c r="K978" s="37" t="n"/>
      <c r="L978" s="43">
        <f>IF(C978="","",SUMIFS($J$7:J978,$C$7:C978,C978)-SUMIFS($K$7:K978,$C$7:C978,C978))</f>
        <v/>
      </c>
      <c r="N978">
        <f>IF(AND(C978&lt;&gt;"",C978='Tenant Statement'!$C$6),COUNTIF($C$7:C978,'Tenant Statement'!$C$6),"")</f>
        <v/>
      </c>
    </row>
    <row r="979">
      <c r="B979" s="41" t="n"/>
      <c r="C979" s="18" t="n"/>
      <c r="D979" s="42">
        <f>IF(C979="","",IFERROR(INDEX(TenantProperty,MATCH(C979,Tenants,0)),""))</f>
        <v/>
      </c>
      <c r="E979" s="42">
        <f>IF(C979="","",IFERROR(INDEX(TenantUnit,MATCH(C979,Tenants,0)),""))</f>
        <v/>
      </c>
      <c r="F979" s="18" t="n"/>
      <c r="G979" s="18" t="n"/>
      <c r="H979" s="18" t="n"/>
      <c r="I979" s="18" t="n"/>
      <c r="J979" s="37" t="n"/>
      <c r="K979" s="37" t="n"/>
      <c r="L979" s="43">
        <f>IF(C979="","",SUMIFS($J$7:J979,$C$7:C979,C979)-SUMIFS($K$7:K979,$C$7:C979,C979))</f>
        <v/>
      </c>
      <c r="N979">
        <f>IF(AND(C979&lt;&gt;"",C979='Tenant Statement'!$C$6),COUNTIF($C$7:C979,'Tenant Statement'!$C$6),"")</f>
        <v/>
      </c>
    </row>
    <row r="980">
      <c r="B980" s="41" t="n"/>
      <c r="C980" s="18" t="n"/>
      <c r="D980" s="42">
        <f>IF(C980="","",IFERROR(INDEX(TenantProperty,MATCH(C980,Tenants,0)),""))</f>
        <v/>
      </c>
      <c r="E980" s="42">
        <f>IF(C980="","",IFERROR(INDEX(TenantUnit,MATCH(C980,Tenants,0)),""))</f>
        <v/>
      </c>
      <c r="F980" s="18" t="n"/>
      <c r="G980" s="18" t="n"/>
      <c r="H980" s="18" t="n"/>
      <c r="I980" s="18" t="n"/>
      <c r="J980" s="37" t="n"/>
      <c r="K980" s="37" t="n"/>
      <c r="L980" s="43">
        <f>IF(C980="","",SUMIFS($J$7:J980,$C$7:C980,C980)-SUMIFS($K$7:K980,$C$7:C980,C980))</f>
        <v/>
      </c>
      <c r="N980">
        <f>IF(AND(C980&lt;&gt;"",C980='Tenant Statement'!$C$6),COUNTIF($C$7:C980,'Tenant Statement'!$C$6),"")</f>
        <v/>
      </c>
    </row>
    <row r="981">
      <c r="B981" s="41" t="n"/>
      <c r="C981" s="18" t="n"/>
      <c r="D981" s="42">
        <f>IF(C981="","",IFERROR(INDEX(TenantProperty,MATCH(C981,Tenants,0)),""))</f>
        <v/>
      </c>
      <c r="E981" s="42">
        <f>IF(C981="","",IFERROR(INDEX(TenantUnit,MATCH(C981,Tenants,0)),""))</f>
        <v/>
      </c>
      <c r="F981" s="18" t="n"/>
      <c r="G981" s="18" t="n"/>
      <c r="H981" s="18" t="n"/>
      <c r="I981" s="18" t="n"/>
      <c r="J981" s="37" t="n"/>
      <c r="K981" s="37" t="n"/>
      <c r="L981" s="43">
        <f>IF(C981="","",SUMIFS($J$7:J981,$C$7:C981,C981)-SUMIFS($K$7:K981,$C$7:C981,C981))</f>
        <v/>
      </c>
      <c r="N981">
        <f>IF(AND(C981&lt;&gt;"",C981='Tenant Statement'!$C$6),COUNTIF($C$7:C981,'Tenant Statement'!$C$6),"")</f>
        <v/>
      </c>
    </row>
    <row r="982">
      <c r="B982" s="41" t="n"/>
      <c r="C982" s="18" t="n"/>
      <c r="D982" s="42">
        <f>IF(C982="","",IFERROR(INDEX(TenantProperty,MATCH(C982,Tenants,0)),""))</f>
        <v/>
      </c>
      <c r="E982" s="42">
        <f>IF(C982="","",IFERROR(INDEX(TenantUnit,MATCH(C982,Tenants,0)),""))</f>
        <v/>
      </c>
      <c r="F982" s="18" t="n"/>
      <c r="G982" s="18" t="n"/>
      <c r="H982" s="18" t="n"/>
      <c r="I982" s="18" t="n"/>
      <c r="J982" s="37" t="n"/>
      <c r="K982" s="37" t="n"/>
      <c r="L982" s="43">
        <f>IF(C982="","",SUMIFS($J$7:J982,$C$7:C982,C982)-SUMIFS($K$7:K982,$C$7:C982,C982))</f>
        <v/>
      </c>
      <c r="N982">
        <f>IF(AND(C982&lt;&gt;"",C982='Tenant Statement'!$C$6),COUNTIF($C$7:C982,'Tenant Statement'!$C$6),"")</f>
        <v/>
      </c>
    </row>
    <row r="983">
      <c r="B983" s="41" t="n"/>
      <c r="C983" s="18" t="n"/>
      <c r="D983" s="42">
        <f>IF(C983="","",IFERROR(INDEX(TenantProperty,MATCH(C983,Tenants,0)),""))</f>
        <v/>
      </c>
      <c r="E983" s="42">
        <f>IF(C983="","",IFERROR(INDEX(TenantUnit,MATCH(C983,Tenants,0)),""))</f>
        <v/>
      </c>
      <c r="F983" s="18" t="n"/>
      <c r="G983" s="18" t="n"/>
      <c r="H983" s="18" t="n"/>
      <c r="I983" s="18" t="n"/>
      <c r="J983" s="37" t="n"/>
      <c r="K983" s="37" t="n"/>
      <c r="L983" s="43">
        <f>IF(C983="","",SUMIFS($J$7:J983,$C$7:C983,C983)-SUMIFS($K$7:K983,$C$7:C983,C983))</f>
        <v/>
      </c>
      <c r="N983">
        <f>IF(AND(C983&lt;&gt;"",C983='Tenant Statement'!$C$6),COUNTIF($C$7:C983,'Tenant Statement'!$C$6),"")</f>
        <v/>
      </c>
    </row>
    <row r="984">
      <c r="B984" s="41" t="n"/>
      <c r="C984" s="18" t="n"/>
      <c r="D984" s="42">
        <f>IF(C984="","",IFERROR(INDEX(TenantProperty,MATCH(C984,Tenants,0)),""))</f>
        <v/>
      </c>
      <c r="E984" s="42">
        <f>IF(C984="","",IFERROR(INDEX(TenantUnit,MATCH(C984,Tenants,0)),""))</f>
        <v/>
      </c>
      <c r="F984" s="18" t="n"/>
      <c r="G984" s="18" t="n"/>
      <c r="H984" s="18" t="n"/>
      <c r="I984" s="18" t="n"/>
      <c r="J984" s="37" t="n"/>
      <c r="K984" s="37" t="n"/>
      <c r="L984" s="43">
        <f>IF(C984="","",SUMIFS($J$7:J984,$C$7:C984,C984)-SUMIFS($K$7:K984,$C$7:C984,C984))</f>
        <v/>
      </c>
      <c r="N984">
        <f>IF(AND(C984&lt;&gt;"",C984='Tenant Statement'!$C$6),COUNTIF($C$7:C984,'Tenant Statement'!$C$6),"")</f>
        <v/>
      </c>
    </row>
    <row r="985">
      <c r="B985" s="41" t="n"/>
      <c r="C985" s="18" t="n"/>
      <c r="D985" s="42">
        <f>IF(C985="","",IFERROR(INDEX(TenantProperty,MATCH(C985,Tenants,0)),""))</f>
        <v/>
      </c>
      <c r="E985" s="42">
        <f>IF(C985="","",IFERROR(INDEX(TenantUnit,MATCH(C985,Tenants,0)),""))</f>
        <v/>
      </c>
      <c r="F985" s="18" t="n"/>
      <c r="G985" s="18" t="n"/>
      <c r="H985" s="18" t="n"/>
      <c r="I985" s="18" t="n"/>
      <c r="J985" s="37" t="n"/>
      <c r="K985" s="37" t="n"/>
      <c r="L985" s="43">
        <f>IF(C985="","",SUMIFS($J$7:J985,$C$7:C985,C985)-SUMIFS($K$7:K985,$C$7:C985,C985))</f>
        <v/>
      </c>
      <c r="N985">
        <f>IF(AND(C985&lt;&gt;"",C985='Tenant Statement'!$C$6),COUNTIF($C$7:C985,'Tenant Statement'!$C$6),"")</f>
        <v/>
      </c>
    </row>
    <row r="986">
      <c r="B986" s="41" t="n"/>
      <c r="C986" s="18" t="n"/>
      <c r="D986" s="42">
        <f>IF(C986="","",IFERROR(INDEX(TenantProperty,MATCH(C986,Tenants,0)),""))</f>
        <v/>
      </c>
      <c r="E986" s="42">
        <f>IF(C986="","",IFERROR(INDEX(TenantUnit,MATCH(C986,Tenants,0)),""))</f>
        <v/>
      </c>
      <c r="F986" s="18" t="n"/>
      <c r="G986" s="18" t="n"/>
      <c r="H986" s="18" t="n"/>
      <c r="I986" s="18" t="n"/>
      <c r="J986" s="37" t="n"/>
      <c r="K986" s="37" t="n"/>
      <c r="L986" s="43">
        <f>IF(C986="","",SUMIFS($J$7:J986,$C$7:C986,C986)-SUMIFS($K$7:K986,$C$7:C986,C986))</f>
        <v/>
      </c>
      <c r="N986">
        <f>IF(AND(C986&lt;&gt;"",C986='Tenant Statement'!$C$6),COUNTIF($C$7:C986,'Tenant Statement'!$C$6),"")</f>
        <v/>
      </c>
    </row>
    <row r="987">
      <c r="B987" s="41" t="n"/>
      <c r="C987" s="18" t="n"/>
      <c r="D987" s="42">
        <f>IF(C987="","",IFERROR(INDEX(TenantProperty,MATCH(C987,Tenants,0)),""))</f>
        <v/>
      </c>
      <c r="E987" s="42">
        <f>IF(C987="","",IFERROR(INDEX(TenantUnit,MATCH(C987,Tenants,0)),""))</f>
        <v/>
      </c>
      <c r="F987" s="18" t="n"/>
      <c r="G987" s="18" t="n"/>
      <c r="H987" s="18" t="n"/>
      <c r="I987" s="18" t="n"/>
      <c r="J987" s="37" t="n"/>
      <c r="K987" s="37" t="n"/>
      <c r="L987" s="43">
        <f>IF(C987="","",SUMIFS($J$7:J987,$C$7:C987,C987)-SUMIFS($K$7:K987,$C$7:C987,C987))</f>
        <v/>
      </c>
      <c r="N987">
        <f>IF(AND(C987&lt;&gt;"",C987='Tenant Statement'!$C$6),COUNTIF($C$7:C987,'Tenant Statement'!$C$6),"")</f>
        <v/>
      </c>
    </row>
    <row r="988">
      <c r="B988" s="41" t="n"/>
      <c r="C988" s="18" t="n"/>
      <c r="D988" s="42">
        <f>IF(C988="","",IFERROR(INDEX(TenantProperty,MATCH(C988,Tenants,0)),""))</f>
        <v/>
      </c>
      <c r="E988" s="42">
        <f>IF(C988="","",IFERROR(INDEX(TenantUnit,MATCH(C988,Tenants,0)),""))</f>
        <v/>
      </c>
      <c r="F988" s="18" t="n"/>
      <c r="G988" s="18" t="n"/>
      <c r="H988" s="18" t="n"/>
      <c r="I988" s="18" t="n"/>
      <c r="J988" s="37" t="n"/>
      <c r="K988" s="37" t="n"/>
      <c r="L988" s="43">
        <f>IF(C988="","",SUMIFS($J$7:J988,$C$7:C988,C988)-SUMIFS($K$7:K988,$C$7:C988,C988))</f>
        <v/>
      </c>
      <c r="N988">
        <f>IF(AND(C988&lt;&gt;"",C988='Tenant Statement'!$C$6),COUNTIF($C$7:C988,'Tenant Statement'!$C$6),"")</f>
        <v/>
      </c>
    </row>
    <row r="989">
      <c r="B989" s="41" t="n"/>
      <c r="C989" s="18" t="n"/>
      <c r="D989" s="42">
        <f>IF(C989="","",IFERROR(INDEX(TenantProperty,MATCH(C989,Tenants,0)),""))</f>
        <v/>
      </c>
      <c r="E989" s="42">
        <f>IF(C989="","",IFERROR(INDEX(TenantUnit,MATCH(C989,Tenants,0)),""))</f>
        <v/>
      </c>
      <c r="F989" s="18" t="n"/>
      <c r="G989" s="18" t="n"/>
      <c r="H989" s="18" t="n"/>
      <c r="I989" s="18" t="n"/>
      <c r="J989" s="37" t="n"/>
      <c r="K989" s="37" t="n"/>
      <c r="L989" s="43">
        <f>IF(C989="","",SUMIFS($J$7:J989,$C$7:C989,C989)-SUMIFS($K$7:K989,$C$7:C989,C989))</f>
        <v/>
      </c>
      <c r="N989">
        <f>IF(AND(C989&lt;&gt;"",C989='Tenant Statement'!$C$6),COUNTIF($C$7:C989,'Tenant Statement'!$C$6),"")</f>
        <v/>
      </c>
    </row>
    <row r="990">
      <c r="B990" s="41" t="n"/>
      <c r="C990" s="18" t="n"/>
      <c r="D990" s="42">
        <f>IF(C990="","",IFERROR(INDEX(TenantProperty,MATCH(C990,Tenants,0)),""))</f>
        <v/>
      </c>
      <c r="E990" s="42">
        <f>IF(C990="","",IFERROR(INDEX(TenantUnit,MATCH(C990,Tenants,0)),""))</f>
        <v/>
      </c>
      <c r="F990" s="18" t="n"/>
      <c r="G990" s="18" t="n"/>
      <c r="H990" s="18" t="n"/>
      <c r="I990" s="18" t="n"/>
      <c r="J990" s="37" t="n"/>
      <c r="K990" s="37" t="n"/>
      <c r="L990" s="43">
        <f>IF(C990="","",SUMIFS($J$7:J990,$C$7:C990,C990)-SUMIFS($K$7:K990,$C$7:C990,C990))</f>
        <v/>
      </c>
      <c r="N990">
        <f>IF(AND(C990&lt;&gt;"",C990='Tenant Statement'!$C$6),COUNTIF($C$7:C990,'Tenant Statement'!$C$6),"")</f>
        <v/>
      </c>
    </row>
    <row r="991">
      <c r="B991" s="41" t="n"/>
      <c r="C991" s="18" t="n"/>
      <c r="D991" s="42">
        <f>IF(C991="","",IFERROR(INDEX(TenantProperty,MATCH(C991,Tenants,0)),""))</f>
        <v/>
      </c>
      <c r="E991" s="42">
        <f>IF(C991="","",IFERROR(INDEX(TenantUnit,MATCH(C991,Tenants,0)),""))</f>
        <v/>
      </c>
      <c r="F991" s="18" t="n"/>
      <c r="G991" s="18" t="n"/>
      <c r="H991" s="18" t="n"/>
      <c r="I991" s="18" t="n"/>
      <c r="J991" s="37" t="n"/>
      <c r="K991" s="37" t="n"/>
      <c r="L991" s="43">
        <f>IF(C991="","",SUMIFS($J$7:J991,$C$7:C991,C991)-SUMIFS($K$7:K991,$C$7:C991,C991))</f>
        <v/>
      </c>
      <c r="N991">
        <f>IF(AND(C991&lt;&gt;"",C991='Tenant Statement'!$C$6),COUNTIF($C$7:C991,'Tenant Statement'!$C$6),"")</f>
        <v/>
      </c>
    </row>
    <row r="992">
      <c r="B992" s="41" t="n"/>
      <c r="C992" s="18" t="n"/>
      <c r="D992" s="42">
        <f>IF(C992="","",IFERROR(INDEX(TenantProperty,MATCH(C992,Tenants,0)),""))</f>
        <v/>
      </c>
      <c r="E992" s="42">
        <f>IF(C992="","",IFERROR(INDEX(TenantUnit,MATCH(C992,Tenants,0)),""))</f>
        <v/>
      </c>
      <c r="F992" s="18" t="n"/>
      <c r="G992" s="18" t="n"/>
      <c r="H992" s="18" t="n"/>
      <c r="I992" s="18" t="n"/>
      <c r="J992" s="37" t="n"/>
      <c r="K992" s="37" t="n"/>
      <c r="L992" s="43">
        <f>IF(C992="","",SUMIFS($J$7:J992,$C$7:C992,C992)-SUMIFS($K$7:K992,$C$7:C992,C992))</f>
        <v/>
      </c>
      <c r="N992">
        <f>IF(AND(C992&lt;&gt;"",C992='Tenant Statement'!$C$6),COUNTIF($C$7:C992,'Tenant Statement'!$C$6),"")</f>
        <v/>
      </c>
    </row>
    <row r="993">
      <c r="B993" s="41" t="n"/>
      <c r="C993" s="18" t="n"/>
      <c r="D993" s="42">
        <f>IF(C993="","",IFERROR(INDEX(TenantProperty,MATCH(C993,Tenants,0)),""))</f>
        <v/>
      </c>
      <c r="E993" s="42">
        <f>IF(C993="","",IFERROR(INDEX(TenantUnit,MATCH(C993,Tenants,0)),""))</f>
        <v/>
      </c>
      <c r="F993" s="18" t="n"/>
      <c r="G993" s="18" t="n"/>
      <c r="H993" s="18" t="n"/>
      <c r="I993" s="18" t="n"/>
      <c r="J993" s="37" t="n"/>
      <c r="K993" s="37" t="n"/>
      <c r="L993" s="43">
        <f>IF(C993="","",SUMIFS($J$7:J993,$C$7:C993,C993)-SUMIFS($K$7:K993,$C$7:C993,C993))</f>
        <v/>
      </c>
      <c r="N993">
        <f>IF(AND(C993&lt;&gt;"",C993='Tenant Statement'!$C$6),COUNTIF($C$7:C993,'Tenant Statement'!$C$6),"")</f>
        <v/>
      </c>
    </row>
    <row r="994">
      <c r="B994" s="41" t="n"/>
      <c r="C994" s="18" t="n"/>
      <c r="D994" s="42">
        <f>IF(C994="","",IFERROR(INDEX(TenantProperty,MATCH(C994,Tenants,0)),""))</f>
        <v/>
      </c>
      <c r="E994" s="42">
        <f>IF(C994="","",IFERROR(INDEX(TenantUnit,MATCH(C994,Tenants,0)),""))</f>
        <v/>
      </c>
      <c r="F994" s="18" t="n"/>
      <c r="G994" s="18" t="n"/>
      <c r="H994" s="18" t="n"/>
      <c r="I994" s="18" t="n"/>
      <c r="J994" s="37" t="n"/>
      <c r="K994" s="37" t="n"/>
      <c r="L994" s="43">
        <f>IF(C994="","",SUMIFS($J$7:J994,$C$7:C994,C994)-SUMIFS($K$7:K994,$C$7:C994,C994))</f>
        <v/>
      </c>
      <c r="N994">
        <f>IF(AND(C994&lt;&gt;"",C994='Tenant Statement'!$C$6),COUNTIF($C$7:C994,'Tenant Statement'!$C$6),"")</f>
        <v/>
      </c>
    </row>
    <row r="995">
      <c r="B995" s="41" t="n"/>
      <c r="C995" s="18" t="n"/>
      <c r="D995" s="42">
        <f>IF(C995="","",IFERROR(INDEX(TenantProperty,MATCH(C995,Tenants,0)),""))</f>
        <v/>
      </c>
      <c r="E995" s="42">
        <f>IF(C995="","",IFERROR(INDEX(TenantUnit,MATCH(C995,Tenants,0)),""))</f>
        <v/>
      </c>
      <c r="F995" s="18" t="n"/>
      <c r="G995" s="18" t="n"/>
      <c r="H995" s="18" t="n"/>
      <c r="I995" s="18" t="n"/>
      <c r="J995" s="37" t="n"/>
      <c r="K995" s="37" t="n"/>
      <c r="L995" s="43">
        <f>IF(C995="","",SUMIFS($J$7:J995,$C$7:C995,C995)-SUMIFS($K$7:K995,$C$7:C995,C995))</f>
        <v/>
      </c>
      <c r="N995">
        <f>IF(AND(C995&lt;&gt;"",C995='Tenant Statement'!$C$6),COUNTIF($C$7:C995,'Tenant Statement'!$C$6),"")</f>
        <v/>
      </c>
    </row>
    <row r="996">
      <c r="B996" s="41" t="n"/>
      <c r="C996" s="18" t="n"/>
      <c r="D996" s="42">
        <f>IF(C996="","",IFERROR(INDEX(TenantProperty,MATCH(C996,Tenants,0)),""))</f>
        <v/>
      </c>
      <c r="E996" s="42">
        <f>IF(C996="","",IFERROR(INDEX(TenantUnit,MATCH(C996,Tenants,0)),""))</f>
        <v/>
      </c>
      <c r="F996" s="18" t="n"/>
      <c r="G996" s="18" t="n"/>
      <c r="H996" s="18" t="n"/>
      <c r="I996" s="18" t="n"/>
      <c r="J996" s="37" t="n"/>
      <c r="K996" s="37" t="n"/>
      <c r="L996" s="43">
        <f>IF(C996="","",SUMIFS($J$7:J996,$C$7:C996,C996)-SUMIFS($K$7:K996,$C$7:C996,C996))</f>
        <v/>
      </c>
      <c r="N996">
        <f>IF(AND(C996&lt;&gt;"",C996='Tenant Statement'!$C$6),COUNTIF($C$7:C996,'Tenant Statement'!$C$6),"")</f>
        <v/>
      </c>
    </row>
    <row r="997">
      <c r="B997" s="41" t="n"/>
      <c r="C997" s="18" t="n"/>
      <c r="D997" s="42">
        <f>IF(C997="","",IFERROR(INDEX(TenantProperty,MATCH(C997,Tenants,0)),""))</f>
        <v/>
      </c>
      <c r="E997" s="42">
        <f>IF(C997="","",IFERROR(INDEX(TenantUnit,MATCH(C997,Tenants,0)),""))</f>
        <v/>
      </c>
      <c r="F997" s="18" t="n"/>
      <c r="G997" s="18" t="n"/>
      <c r="H997" s="18" t="n"/>
      <c r="I997" s="18" t="n"/>
      <c r="J997" s="37" t="n"/>
      <c r="K997" s="37" t="n"/>
      <c r="L997" s="43">
        <f>IF(C997="","",SUMIFS($J$7:J997,$C$7:C997,C997)-SUMIFS($K$7:K997,$C$7:C997,C997))</f>
        <v/>
      </c>
      <c r="N997">
        <f>IF(AND(C997&lt;&gt;"",C997='Tenant Statement'!$C$6),COUNTIF($C$7:C997,'Tenant Statement'!$C$6),"")</f>
        <v/>
      </c>
    </row>
    <row r="998">
      <c r="B998" s="41" t="n"/>
      <c r="C998" s="18" t="n"/>
      <c r="D998" s="42">
        <f>IF(C998="","",IFERROR(INDEX(TenantProperty,MATCH(C998,Tenants,0)),""))</f>
        <v/>
      </c>
      <c r="E998" s="42">
        <f>IF(C998="","",IFERROR(INDEX(TenantUnit,MATCH(C998,Tenants,0)),""))</f>
        <v/>
      </c>
      <c r="F998" s="18" t="n"/>
      <c r="G998" s="18" t="n"/>
      <c r="H998" s="18" t="n"/>
      <c r="I998" s="18" t="n"/>
      <c r="J998" s="37" t="n"/>
      <c r="K998" s="37" t="n"/>
      <c r="L998" s="43">
        <f>IF(C998="","",SUMIFS($J$7:J998,$C$7:C998,C998)-SUMIFS($K$7:K998,$C$7:C998,C998))</f>
        <v/>
      </c>
      <c r="N998">
        <f>IF(AND(C998&lt;&gt;"",C998='Tenant Statement'!$C$6),COUNTIF($C$7:C998,'Tenant Statement'!$C$6),"")</f>
        <v/>
      </c>
    </row>
    <row r="999">
      <c r="B999" s="41" t="n"/>
      <c r="C999" s="18" t="n"/>
      <c r="D999" s="42">
        <f>IF(C999="","",IFERROR(INDEX(TenantProperty,MATCH(C999,Tenants,0)),""))</f>
        <v/>
      </c>
      <c r="E999" s="42">
        <f>IF(C999="","",IFERROR(INDEX(TenantUnit,MATCH(C999,Tenants,0)),""))</f>
        <v/>
      </c>
      <c r="F999" s="18" t="n"/>
      <c r="G999" s="18" t="n"/>
      <c r="H999" s="18" t="n"/>
      <c r="I999" s="18" t="n"/>
      <c r="J999" s="37" t="n"/>
      <c r="K999" s="37" t="n"/>
      <c r="L999" s="43">
        <f>IF(C999="","",SUMIFS($J$7:J999,$C$7:C999,C999)-SUMIFS($K$7:K999,$C$7:C999,C999))</f>
        <v/>
      </c>
      <c r="N999">
        <f>IF(AND(C999&lt;&gt;"",C999='Tenant Statement'!$C$6),COUNTIF($C$7:C999,'Tenant Statement'!$C$6),"")</f>
        <v/>
      </c>
    </row>
    <row r="1000">
      <c r="B1000" s="41" t="n"/>
      <c r="C1000" s="18" t="n"/>
      <c r="D1000" s="42">
        <f>IF(C1000="","",IFERROR(INDEX(TenantProperty,MATCH(C1000,Tenants,0)),""))</f>
        <v/>
      </c>
      <c r="E1000" s="42">
        <f>IF(C1000="","",IFERROR(INDEX(TenantUnit,MATCH(C1000,Tenants,0)),""))</f>
        <v/>
      </c>
      <c r="F1000" s="18" t="n"/>
      <c r="G1000" s="18" t="n"/>
      <c r="H1000" s="18" t="n"/>
      <c r="I1000" s="18" t="n"/>
      <c r="J1000" s="37" t="n"/>
      <c r="K1000" s="37" t="n"/>
      <c r="L1000" s="43">
        <f>IF(C1000="","",SUMIFS($J$7:J1000,$C$7:C1000,C1000)-SUMIFS($K$7:K1000,$C$7:C1000,C1000))</f>
        <v/>
      </c>
      <c r="N1000">
        <f>IF(AND(C1000&lt;&gt;"",C1000='Tenant Statement'!$C$6),COUNTIF($C$7:C1000,'Tenant Statement'!$C$6),"")</f>
        <v/>
      </c>
    </row>
    <row r="1001">
      <c r="B1001" s="41" t="n"/>
      <c r="C1001" s="18" t="n"/>
      <c r="D1001" s="42">
        <f>IF(C1001="","",IFERROR(INDEX(TenantProperty,MATCH(C1001,Tenants,0)),""))</f>
        <v/>
      </c>
      <c r="E1001" s="42">
        <f>IF(C1001="","",IFERROR(INDEX(TenantUnit,MATCH(C1001,Tenants,0)),""))</f>
        <v/>
      </c>
      <c r="F1001" s="18" t="n"/>
      <c r="G1001" s="18" t="n"/>
      <c r="H1001" s="18" t="n"/>
      <c r="I1001" s="18" t="n"/>
      <c r="J1001" s="37" t="n"/>
      <c r="K1001" s="37" t="n"/>
      <c r="L1001" s="43">
        <f>IF(C1001="","",SUMIFS($J$7:J1001,$C$7:C1001,C1001)-SUMIFS($K$7:K1001,$C$7:C1001,C1001))</f>
        <v/>
      </c>
      <c r="N1001">
        <f>IF(AND(C1001&lt;&gt;"",C1001='Tenant Statement'!$C$6),COUNTIF($C$7:C1001,'Tenant Statement'!$C$6),"")</f>
        <v/>
      </c>
    </row>
    <row r="1002">
      <c r="B1002" s="41" t="n"/>
      <c r="C1002" s="18" t="n"/>
      <c r="D1002" s="42">
        <f>IF(C1002="","",IFERROR(INDEX(TenantProperty,MATCH(C1002,Tenants,0)),""))</f>
        <v/>
      </c>
      <c r="E1002" s="42">
        <f>IF(C1002="","",IFERROR(INDEX(TenantUnit,MATCH(C1002,Tenants,0)),""))</f>
        <v/>
      </c>
      <c r="F1002" s="18" t="n"/>
      <c r="G1002" s="18" t="n"/>
      <c r="H1002" s="18" t="n"/>
      <c r="I1002" s="18" t="n"/>
      <c r="J1002" s="37" t="n"/>
      <c r="K1002" s="37" t="n"/>
      <c r="L1002" s="43">
        <f>IF(C1002="","",SUMIFS($J$7:J1002,$C$7:C1002,C1002)-SUMIFS($K$7:K1002,$C$7:C1002,C1002))</f>
        <v/>
      </c>
      <c r="N1002">
        <f>IF(AND(C1002&lt;&gt;"",C1002='Tenant Statement'!$C$6),COUNTIF($C$7:C1002,'Tenant Statement'!$C$6),"")</f>
        <v/>
      </c>
    </row>
    <row r="1003">
      <c r="B1003" s="41" t="n"/>
      <c r="C1003" s="18" t="n"/>
      <c r="D1003" s="42">
        <f>IF(C1003="","",IFERROR(INDEX(TenantProperty,MATCH(C1003,Tenants,0)),""))</f>
        <v/>
      </c>
      <c r="E1003" s="42">
        <f>IF(C1003="","",IFERROR(INDEX(TenantUnit,MATCH(C1003,Tenants,0)),""))</f>
        <v/>
      </c>
      <c r="F1003" s="18" t="n"/>
      <c r="G1003" s="18" t="n"/>
      <c r="H1003" s="18" t="n"/>
      <c r="I1003" s="18" t="n"/>
      <c r="J1003" s="37" t="n"/>
      <c r="K1003" s="37" t="n"/>
      <c r="L1003" s="43">
        <f>IF(C1003="","",SUMIFS($J$7:J1003,$C$7:C1003,C1003)-SUMIFS($K$7:K1003,$C$7:C1003,C1003))</f>
        <v/>
      </c>
      <c r="N1003">
        <f>IF(AND(C1003&lt;&gt;"",C1003='Tenant Statement'!$C$6),COUNTIF($C$7:C1003,'Tenant Statement'!$C$6),"")</f>
        <v/>
      </c>
    </row>
    <row r="1004">
      <c r="B1004" s="41" t="n"/>
      <c r="C1004" s="18" t="n"/>
      <c r="D1004" s="42">
        <f>IF(C1004="","",IFERROR(INDEX(TenantProperty,MATCH(C1004,Tenants,0)),""))</f>
        <v/>
      </c>
      <c r="E1004" s="42">
        <f>IF(C1004="","",IFERROR(INDEX(TenantUnit,MATCH(C1004,Tenants,0)),""))</f>
        <v/>
      </c>
      <c r="F1004" s="18" t="n"/>
      <c r="G1004" s="18" t="n"/>
      <c r="H1004" s="18" t="n"/>
      <c r="I1004" s="18" t="n"/>
      <c r="J1004" s="37" t="n"/>
      <c r="K1004" s="37" t="n"/>
      <c r="L1004" s="43">
        <f>IF(C1004="","",SUMIFS($J$7:J1004,$C$7:C1004,C1004)-SUMIFS($K$7:K1004,$C$7:C1004,C1004))</f>
        <v/>
      </c>
      <c r="N1004">
        <f>IF(AND(C1004&lt;&gt;"",C1004='Tenant Statement'!$C$6),COUNTIF($C$7:C1004,'Tenant Statement'!$C$6),"")</f>
        <v/>
      </c>
    </row>
    <row r="1005">
      <c r="B1005" s="41" t="n"/>
      <c r="C1005" s="18" t="n"/>
      <c r="D1005" s="42">
        <f>IF(C1005="","",IFERROR(INDEX(TenantProperty,MATCH(C1005,Tenants,0)),""))</f>
        <v/>
      </c>
      <c r="E1005" s="42">
        <f>IF(C1005="","",IFERROR(INDEX(TenantUnit,MATCH(C1005,Tenants,0)),""))</f>
        <v/>
      </c>
      <c r="F1005" s="18" t="n"/>
      <c r="G1005" s="18" t="n"/>
      <c r="H1005" s="18" t="n"/>
      <c r="I1005" s="18" t="n"/>
      <c r="J1005" s="37" t="n"/>
      <c r="K1005" s="37" t="n"/>
      <c r="L1005" s="43">
        <f>IF(C1005="","",SUMIFS($J$7:J1005,$C$7:C1005,C1005)-SUMIFS($K$7:K1005,$C$7:C1005,C1005))</f>
        <v/>
      </c>
      <c r="N1005">
        <f>IF(AND(C1005&lt;&gt;"",C1005='Tenant Statement'!$C$6),COUNTIF($C$7:C1005,'Tenant Statement'!$C$6),"")</f>
        <v/>
      </c>
    </row>
    <row r="1006">
      <c r="B1006" s="41" t="n"/>
      <c r="C1006" s="18" t="n"/>
      <c r="D1006" s="42">
        <f>IF(C1006="","",IFERROR(INDEX(TenantProperty,MATCH(C1006,Tenants,0)),""))</f>
        <v/>
      </c>
      <c r="E1006" s="42">
        <f>IF(C1006="","",IFERROR(INDEX(TenantUnit,MATCH(C1006,Tenants,0)),""))</f>
        <v/>
      </c>
      <c r="F1006" s="18" t="n"/>
      <c r="G1006" s="18" t="n"/>
      <c r="H1006" s="18" t="n"/>
      <c r="I1006" s="18" t="n"/>
      <c r="J1006" s="37" t="n"/>
      <c r="K1006" s="37" t="n"/>
      <c r="L1006" s="43">
        <f>IF(C1006="","",SUMIFS($J$7:J1006,$C$7:C1006,C1006)-SUMIFS($K$7:K1006,$C$7:C1006,C1006))</f>
        <v/>
      </c>
      <c r="N1006">
        <f>IF(AND(C1006&lt;&gt;"",C1006='Tenant Statement'!$C$6),COUNTIF($C$7:C1006,'Tenant Statement'!$C$6),"")</f>
        <v/>
      </c>
    </row>
  </sheetData>
  <autoFilter ref="B6:L1006"/>
  <conditionalFormatting sqref="J7:J1006">
    <cfRule type="expression" priority="1" dxfId="4">
      <formula>J7&gt;0</formula>
    </cfRule>
  </conditionalFormatting>
  <conditionalFormatting sqref="K7:K1006">
    <cfRule type="expression" priority="2" dxfId="5">
      <formula>K7&gt;0</formula>
    </cfRule>
  </conditionalFormatting>
  <conditionalFormatting sqref="F7:F1006">
    <cfRule type="expression" priority="3" dxfId="6">
      <formula>OR(F7="Void",F7="Adjustment",F7="Refund")</formula>
    </cfRule>
  </conditionalFormatting>
  <conditionalFormatting sqref="L7:L1006">
    <cfRule type="expression" priority="4" dxfId="7">
      <formula>AND(ISNUMBER(L7),L7&gt;0)</formula>
    </cfRule>
  </conditionalFormatting>
  <dataValidations count="4">
    <dataValidation sqref="C7:C1006" showDropDown="0" showInputMessage="0" showErrorMessage="0" allowBlank="1" promptTitle="Tenant" prompt="Pick a tenant from Setup" type="list">
      <formula1>=Tenants</formula1>
    </dataValidation>
    <dataValidation sqref="F7:F1006" showDropDown="0" showInputMessage="0" showErrorMessage="0" allowBlank="1" type="list">
      <formula1>=EntryTypes</formula1>
    </dataValidation>
    <dataValidation sqref="H7:H1006" showDropDown="0" showInputMessage="0" showErrorMessage="0" allowBlank="1" type="list">
      <formula1>=Methods</formula1>
    </dataValidation>
    <dataValidation sqref="B7:B1006" showDropDown="0" showInputMessage="0" showErrorMessage="0" allowBlank="1" errorTitle="Date" error="Enter a date, like 9/1/2026." type="date" operator="greaterThan">
      <formula1>36526</formula1>
    </dataValidation>
  </dataValidations>
  <printOptions horizontalCentered="1"/>
  <pageMargins left="0.4" right="0.4" top="1" bottom="1" header="0.5" footer="0.5"/>
  <pageSetup orientation="landscape" fitToHeight="0" fitToWidth="1"/>
  <headerFooter>
    <oddHeader/>
    <oddFooter>&amp;L&amp;8 Landlord's Desk · landlordsdesk.com&amp;R&amp;8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J1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12" customWidth="1" min="3" max="3"/>
    <col width="38" customWidth="1" min="4" max="4"/>
    <col width="20" customWidth="1" min="5" max="5"/>
    <col width="13" customWidth="1" min="6" max="6"/>
    <col width="12" customWidth="1" min="7" max="7"/>
    <col width="12" customWidth="1" min="8" max="8"/>
    <col width="14" customWidth="1" min="9" max="9"/>
    <col width="2" customWidth="1" min="10" max="10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2" t="n"/>
      <c r="B2" s="3" t="inlineStr">
        <is>
          <t>Tenant Statement</t>
        </is>
      </c>
      <c r="C2" s="2" t="n"/>
      <c r="D2" s="2" t="n"/>
      <c r="E2" s="2" t="n"/>
      <c r="F2" s="2" t="n"/>
      <c r="G2" s="2" t="n"/>
      <c r="H2" s="2" t="n"/>
      <c r="I2" s="2" t="n"/>
      <c r="J2" s="4" t="inlineStr">
        <is>
          <t>Landlord's Desk</t>
        </is>
      </c>
    </row>
    <row r="3" ht="20" customHeight="1">
      <c r="A3" s="2" t="n"/>
      <c r="B3" s="5" t="inlineStr">
        <is>
          <t>Pick a tenant. Print or save as PDF to send them a clean record of their account.</t>
        </is>
      </c>
      <c r="C3" s="2" t="n"/>
      <c r="D3" s="2" t="n"/>
      <c r="E3" s="2" t="n"/>
      <c r="F3" s="2" t="n"/>
      <c r="G3" s="2" t="n"/>
      <c r="H3" s="2" t="n"/>
      <c r="I3" s="2" t="n"/>
      <c r="J3" s="6" t="inlineStr">
        <is>
          <t>landlordsdesk.com</t>
        </is>
      </c>
    </row>
    <row r="4" ht="6" customHeight="1"/>
    <row r="6" ht="26" customHeight="1">
      <c r="B6" s="44" t="inlineStr">
        <is>
          <t>Tenant</t>
        </is>
      </c>
      <c r="C6" s="45" t="n"/>
      <c r="E6" s="46" t="inlineStr">
        <is>
          <t>◀ choose from the list</t>
        </is>
      </c>
    </row>
    <row r="8" ht="16" customHeight="1">
      <c r="B8" s="47" t="inlineStr">
        <is>
          <t>Property</t>
        </is>
      </c>
      <c r="C8" s="48">
        <f>IF($C$6="","",IFERROR(INDEX(TenantProperty,MATCH($C$6,Tenants,0)),""))</f>
        <v/>
      </c>
      <c r="G8" s="1" t="n"/>
      <c r="H8" s="1" t="n"/>
      <c r="I8" s="1" t="n"/>
    </row>
    <row r="9">
      <c r="B9" s="47" t="inlineStr">
        <is>
          <t>Unit</t>
        </is>
      </c>
      <c r="C9" s="48">
        <f>IF($C$6="","",IFERROR(INDEX(TenantUnit,MATCH($C$6,Tenants,0)),""))</f>
        <v/>
      </c>
      <c r="G9" s="49" t="inlineStr">
        <is>
          <t>Current balance</t>
        </is>
      </c>
    </row>
    <row r="10">
      <c r="B10" s="47" t="inlineStr">
        <is>
          <t>Monthly rent</t>
        </is>
      </c>
      <c r="C10" s="50">
        <f>IF($C$6="","",IFERROR(INDEX(TenantRent,MATCH($C$6,Tenants,0)),""))</f>
        <v/>
      </c>
      <c r="G10" s="51">
        <f>IF($C$6="",0,SUMIFS(LCharge,LTenant,$C$6)-SUMIFS(LPayment,LTenant,$C$6))</f>
        <v/>
      </c>
    </row>
    <row r="11">
      <c r="B11" s="47" t="inlineStr">
        <is>
          <t>Lease</t>
        </is>
      </c>
      <c r="C11" s="48">
        <f>IF($C$6="","",IFERROR(TEXT(INDEX(TenantLeaseStart,MATCH($C$6,Tenants,0)),"mmm d, yyyy")&amp;" – "&amp;TEXT(INDEX(TenantLeaseEnd,MATCH($C$6,Tenants,0)),"mmm d, yyyy"),""))</f>
        <v/>
      </c>
    </row>
    <row r="12">
      <c r="B12" s="47" t="inlineStr">
        <is>
          <t>Deposit held</t>
        </is>
      </c>
      <c r="C12" s="50">
        <f>IF($C$6="","",IFERROR(INDEX(TenantDeposit,MATCH($C$6,Tenants,0)),""))</f>
        <v/>
      </c>
      <c r="G12" s="52">
        <f>"As of "&amp;TEXT(TODAY(),"mmm d, yyyy")</f>
        <v/>
      </c>
      <c r="H12" s="2" t="n"/>
      <c r="I12" s="2" t="n"/>
    </row>
    <row r="15" ht="26" customHeight="1">
      <c r="B15" s="14" t="inlineStr">
        <is>
          <t>Date</t>
        </is>
      </c>
      <c r="C15" s="14" t="inlineStr">
        <is>
          <t>Type</t>
        </is>
      </c>
      <c r="D15" s="14" t="inlineStr">
        <is>
          <t>Description</t>
        </is>
      </c>
      <c r="E15" s="14" t="inlineStr">
        <is>
          <t>Method</t>
        </is>
      </c>
      <c r="F15" s="14" t="inlineStr">
        <is>
          <t>Reference #</t>
        </is>
      </c>
      <c r="G15" s="14" t="inlineStr">
        <is>
          <t>Charge</t>
        </is>
      </c>
      <c r="H15" s="14" t="inlineStr">
        <is>
          <t>Payment</t>
        </is>
      </c>
      <c r="I15" s="14" t="inlineStr">
        <is>
          <t>Balance</t>
        </is>
      </c>
    </row>
    <row r="16">
      <c r="B16" s="41">
        <f>IFERROR(INDEX('Rent Ledger'!$B$7:$B$1006,MATCH(1,'Rent Ledger'!$N$7:$N$1006,0)),"")</f>
        <v/>
      </c>
      <c r="C16" s="18">
        <f>IFERROR(INDEX('Rent Ledger'!$F$7:$F$1006,MATCH(1,'Rent Ledger'!$N$7:$N$1006,0))&amp;"","")</f>
        <v/>
      </c>
      <c r="D16" s="18">
        <f>IFERROR(INDEX('Rent Ledger'!$G$7:$G$1006,MATCH(1,'Rent Ledger'!$N$7:$N$1006,0))&amp;"","")</f>
        <v/>
      </c>
      <c r="E16" s="18">
        <f>IFERROR(INDEX('Rent Ledger'!$H$7:$H$1006,MATCH(1,'Rent Ledger'!$N$7:$N$1006,0))&amp;"","")</f>
        <v/>
      </c>
      <c r="F16" s="18">
        <f>IFERROR(INDEX('Rent Ledger'!$I$7:$I$1006,MATCH(1,'Rent Ledger'!$N$7:$N$1006,0))&amp;"","")</f>
        <v/>
      </c>
      <c r="G16" s="37">
        <f>IFERROR(N(INDEX('Rent Ledger'!$J$7:$J$1006,MATCH(1,'Rent Ledger'!$N$7:$N$1006,0))),"")</f>
        <v/>
      </c>
      <c r="H16" s="37">
        <f>IFERROR(N(INDEX('Rent Ledger'!$K$7:$K$1006,MATCH(1,'Rent Ledger'!$N$7:$N$1006,0))),"")</f>
        <v/>
      </c>
      <c r="I16" s="43">
        <f>IF(B16="","",SUM($G$16:G16)-SUM($H$16:H16))</f>
        <v/>
      </c>
    </row>
    <row r="17">
      <c r="B17" s="41">
        <f>IFERROR(INDEX('Rent Ledger'!$B$7:$B$1006,MATCH(2,'Rent Ledger'!$N$7:$N$1006,0)),"")</f>
        <v/>
      </c>
      <c r="C17" s="18">
        <f>IFERROR(INDEX('Rent Ledger'!$F$7:$F$1006,MATCH(2,'Rent Ledger'!$N$7:$N$1006,0))&amp;"","")</f>
        <v/>
      </c>
      <c r="D17" s="18">
        <f>IFERROR(INDEX('Rent Ledger'!$G$7:$G$1006,MATCH(2,'Rent Ledger'!$N$7:$N$1006,0))&amp;"","")</f>
        <v/>
      </c>
      <c r="E17" s="18">
        <f>IFERROR(INDEX('Rent Ledger'!$H$7:$H$1006,MATCH(2,'Rent Ledger'!$N$7:$N$1006,0))&amp;"","")</f>
        <v/>
      </c>
      <c r="F17" s="18">
        <f>IFERROR(INDEX('Rent Ledger'!$I$7:$I$1006,MATCH(2,'Rent Ledger'!$N$7:$N$1006,0))&amp;"","")</f>
        <v/>
      </c>
      <c r="G17" s="37">
        <f>IFERROR(N(INDEX('Rent Ledger'!$J$7:$J$1006,MATCH(2,'Rent Ledger'!$N$7:$N$1006,0))),"")</f>
        <v/>
      </c>
      <c r="H17" s="37">
        <f>IFERROR(N(INDEX('Rent Ledger'!$K$7:$K$1006,MATCH(2,'Rent Ledger'!$N$7:$N$1006,0))),"")</f>
        <v/>
      </c>
      <c r="I17" s="43">
        <f>IF(B17="","",SUM($G$16:G17)-SUM($H$16:H17))</f>
        <v/>
      </c>
    </row>
    <row r="18">
      <c r="B18" s="41">
        <f>IFERROR(INDEX('Rent Ledger'!$B$7:$B$1006,MATCH(3,'Rent Ledger'!$N$7:$N$1006,0)),"")</f>
        <v/>
      </c>
      <c r="C18" s="18">
        <f>IFERROR(INDEX('Rent Ledger'!$F$7:$F$1006,MATCH(3,'Rent Ledger'!$N$7:$N$1006,0))&amp;"","")</f>
        <v/>
      </c>
      <c r="D18" s="18">
        <f>IFERROR(INDEX('Rent Ledger'!$G$7:$G$1006,MATCH(3,'Rent Ledger'!$N$7:$N$1006,0))&amp;"","")</f>
        <v/>
      </c>
      <c r="E18" s="18">
        <f>IFERROR(INDEX('Rent Ledger'!$H$7:$H$1006,MATCH(3,'Rent Ledger'!$N$7:$N$1006,0))&amp;"","")</f>
        <v/>
      </c>
      <c r="F18" s="18">
        <f>IFERROR(INDEX('Rent Ledger'!$I$7:$I$1006,MATCH(3,'Rent Ledger'!$N$7:$N$1006,0))&amp;"","")</f>
        <v/>
      </c>
      <c r="G18" s="37">
        <f>IFERROR(N(INDEX('Rent Ledger'!$J$7:$J$1006,MATCH(3,'Rent Ledger'!$N$7:$N$1006,0))),"")</f>
        <v/>
      </c>
      <c r="H18" s="37">
        <f>IFERROR(N(INDEX('Rent Ledger'!$K$7:$K$1006,MATCH(3,'Rent Ledger'!$N$7:$N$1006,0))),"")</f>
        <v/>
      </c>
      <c r="I18" s="43">
        <f>IF(B18="","",SUM($G$16:G18)-SUM($H$16:H18))</f>
        <v/>
      </c>
    </row>
    <row r="19">
      <c r="B19" s="41">
        <f>IFERROR(INDEX('Rent Ledger'!$B$7:$B$1006,MATCH(4,'Rent Ledger'!$N$7:$N$1006,0)),"")</f>
        <v/>
      </c>
      <c r="C19" s="18">
        <f>IFERROR(INDEX('Rent Ledger'!$F$7:$F$1006,MATCH(4,'Rent Ledger'!$N$7:$N$1006,0))&amp;"","")</f>
        <v/>
      </c>
      <c r="D19" s="18">
        <f>IFERROR(INDEX('Rent Ledger'!$G$7:$G$1006,MATCH(4,'Rent Ledger'!$N$7:$N$1006,0))&amp;"","")</f>
        <v/>
      </c>
      <c r="E19" s="18">
        <f>IFERROR(INDEX('Rent Ledger'!$H$7:$H$1006,MATCH(4,'Rent Ledger'!$N$7:$N$1006,0))&amp;"","")</f>
        <v/>
      </c>
      <c r="F19" s="18">
        <f>IFERROR(INDEX('Rent Ledger'!$I$7:$I$1006,MATCH(4,'Rent Ledger'!$N$7:$N$1006,0))&amp;"","")</f>
        <v/>
      </c>
      <c r="G19" s="37">
        <f>IFERROR(N(INDEX('Rent Ledger'!$J$7:$J$1006,MATCH(4,'Rent Ledger'!$N$7:$N$1006,0))),"")</f>
        <v/>
      </c>
      <c r="H19" s="37">
        <f>IFERROR(N(INDEX('Rent Ledger'!$K$7:$K$1006,MATCH(4,'Rent Ledger'!$N$7:$N$1006,0))),"")</f>
        <v/>
      </c>
      <c r="I19" s="43">
        <f>IF(B19="","",SUM($G$16:G19)-SUM($H$16:H19))</f>
        <v/>
      </c>
    </row>
    <row r="20">
      <c r="B20" s="41">
        <f>IFERROR(INDEX('Rent Ledger'!$B$7:$B$1006,MATCH(5,'Rent Ledger'!$N$7:$N$1006,0)),"")</f>
        <v/>
      </c>
      <c r="C20" s="18">
        <f>IFERROR(INDEX('Rent Ledger'!$F$7:$F$1006,MATCH(5,'Rent Ledger'!$N$7:$N$1006,0))&amp;"","")</f>
        <v/>
      </c>
      <c r="D20" s="18">
        <f>IFERROR(INDEX('Rent Ledger'!$G$7:$G$1006,MATCH(5,'Rent Ledger'!$N$7:$N$1006,0))&amp;"","")</f>
        <v/>
      </c>
      <c r="E20" s="18">
        <f>IFERROR(INDEX('Rent Ledger'!$H$7:$H$1006,MATCH(5,'Rent Ledger'!$N$7:$N$1006,0))&amp;"","")</f>
        <v/>
      </c>
      <c r="F20" s="18">
        <f>IFERROR(INDEX('Rent Ledger'!$I$7:$I$1006,MATCH(5,'Rent Ledger'!$N$7:$N$1006,0))&amp;"","")</f>
        <v/>
      </c>
      <c r="G20" s="37">
        <f>IFERROR(N(INDEX('Rent Ledger'!$J$7:$J$1006,MATCH(5,'Rent Ledger'!$N$7:$N$1006,0))),"")</f>
        <v/>
      </c>
      <c r="H20" s="37">
        <f>IFERROR(N(INDEX('Rent Ledger'!$K$7:$K$1006,MATCH(5,'Rent Ledger'!$N$7:$N$1006,0))),"")</f>
        <v/>
      </c>
      <c r="I20" s="43">
        <f>IF(B20="","",SUM($G$16:G20)-SUM($H$16:H20))</f>
        <v/>
      </c>
    </row>
    <row r="21">
      <c r="B21" s="41">
        <f>IFERROR(INDEX('Rent Ledger'!$B$7:$B$1006,MATCH(6,'Rent Ledger'!$N$7:$N$1006,0)),"")</f>
        <v/>
      </c>
      <c r="C21" s="18">
        <f>IFERROR(INDEX('Rent Ledger'!$F$7:$F$1006,MATCH(6,'Rent Ledger'!$N$7:$N$1006,0))&amp;"","")</f>
        <v/>
      </c>
      <c r="D21" s="18">
        <f>IFERROR(INDEX('Rent Ledger'!$G$7:$G$1006,MATCH(6,'Rent Ledger'!$N$7:$N$1006,0))&amp;"","")</f>
        <v/>
      </c>
      <c r="E21" s="18">
        <f>IFERROR(INDEX('Rent Ledger'!$H$7:$H$1006,MATCH(6,'Rent Ledger'!$N$7:$N$1006,0))&amp;"","")</f>
        <v/>
      </c>
      <c r="F21" s="18">
        <f>IFERROR(INDEX('Rent Ledger'!$I$7:$I$1006,MATCH(6,'Rent Ledger'!$N$7:$N$1006,0))&amp;"","")</f>
        <v/>
      </c>
      <c r="G21" s="37">
        <f>IFERROR(N(INDEX('Rent Ledger'!$J$7:$J$1006,MATCH(6,'Rent Ledger'!$N$7:$N$1006,0))),"")</f>
        <v/>
      </c>
      <c r="H21" s="37">
        <f>IFERROR(N(INDEX('Rent Ledger'!$K$7:$K$1006,MATCH(6,'Rent Ledger'!$N$7:$N$1006,0))),"")</f>
        <v/>
      </c>
      <c r="I21" s="43">
        <f>IF(B21="","",SUM($G$16:G21)-SUM($H$16:H21))</f>
        <v/>
      </c>
    </row>
    <row r="22">
      <c r="B22" s="41">
        <f>IFERROR(INDEX('Rent Ledger'!$B$7:$B$1006,MATCH(7,'Rent Ledger'!$N$7:$N$1006,0)),"")</f>
        <v/>
      </c>
      <c r="C22" s="18">
        <f>IFERROR(INDEX('Rent Ledger'!$F$7:$F$1006,MATCH(7,'Rent Ledger'!$N$7:$N$1006,0))&amp;"","")</f>
        <v/>
      </c>
      <c r="D22" s="18">
        <f>IFERROR(INDEX('Rent Ledger'!$G$7:$G$1006,MATCH(7,'Rent Ledger'!$N$7:$N$1006,0))&amp;"","")</f>
        <v/>
      </c>
      <c r="E22" s="18">
        <f>IFERROR(INDEX('Rent Ledger'!$H$7:$H$1006,MATCH(7,'Rent Ledger'!$N$7:$N$1006,0))&amp;"","")</f>
        <v/>
      </c>
      <c r="F22" s="18">
        <f>IFERROR(INDEX('Rent Ledger'!$I$7:$I$1006,MATCH(7,'Rent Ledger'!$N$7:$N$1006,0))&amp;"","")</f>
        <v/>
      </c>
      <c r="G22" s="37">
        <f>IFERROR(N(INDEX('Rent Ledger'!$J$7:$J$1006,MATCH(7,'Rent Ledger'!$N$7:$N$1006,0))),"")</f>
        <v/>
      </c>
      <c r="H22" s="37">
        <f>IFERROR(N(INDEX('Rent Ledger'!$K$7:$K$1006,MATCH(7,'Rent Ledger'!$N$7:$N$1006,0))),"")</f>
        <v/>
      </c>
      <c r="I22" s="43">
        <f>IF(B22="","",SUM($G$16:G22)-SUM($H$16:H22))</f>
        <v/>
      </c>
    </row>
    <row r="23">
      <c r="B23" s="41">
        <f>IFERROR(INDEX('Rent Ledger'!$B$7:$B$1006,MATCH(8,'Rent Ledger'!$N$7:$N$1006,0)),"")</f>
        <v/>
      </c>
      <c r="C23" s="18">
        <f>IFERROR(INDEX('Rent Ledger'!$F$7:$F$1006,MATCH(8,'Rent Ledger'!$N$7:$N$1006,0))&amp;"","")</f>
        <v/>
      </c>
      <c r="D23" s="18">
        <f>IFERROR(INDEX('Rent Ledger'!$G$7:$G$1006,MATCH(8,'Rent Ledger'!$N$7:$N$1006,0))&amp;"","")</f>
        <v/>
      </c>
      <c r="E23" s="18">
        <f>IFERROR(INDEX('Rent Ledger'!$H$7:$H$1006,MATCH(8,'Rent Ledger'!$N$7:$N$1006,0))&amp;"","")</f>
        <v/>
      </c>
      <c r="F23" s="18">
        <f>IFERROR(INDEX('Rent Ledger'!$I$7:$I$1006,MATCH(8,'Rent Ledger'!$N$7:$N$1006,0))&amp;"","")</f>
        <v/>
      </c>
      <c r="G23" s="37">
        <f>IFERROR(N(INDEX('Rent Ledger'!$J$7:$J$1006,MATCH(8,'Rent Ledger'!$N$7:$N$1006,0))),"")</f>
        <v/>
      </c>
      <c r="H23" s="37">
        <f>IFERROR(N(INDEX('Rent Ledger'!$K$7:$K$1006,MATCH(8,'Rent Ledger'!$N$7:$N$1006,0))),"")</f>
        <v/>
      </c>
      <c r="I23" s="43">
        <f>IF(B23="","",SUM($G$16:G23)-SUM($H$16:H23))</f>
        <v/>
      </c>
    </row>
    <row r="24">
      <c r="B24" s="41">
        <f>IFERROR(INDEX('Rent Ledger'!$B$7:$B$1006,MATCH(9,'Rent Ledger'!$N$7:$N$1006,0)),"")</f>
        <v/>
      </c>
      <c r="C24" s="18">
        <f>IFERROR(INDEX('Rent Ledger'!$F$7:$F$1006,MATCH(9,'Rent Ledger'!$N$7:$N$1006,0))&amp;"","")</f>
        <v/>
      </c>
      <c r="D24" s="18">
        <f>IFERROR(INDEX('Rent Ledger'!$G$7:$G$1006,MATCH(9,'Rent Ledger'!$N$7:$N$1006,0))&amp;"","")</f>
        <v/>
      </c>
      <c r="E24" s="18">
        <f>IFERROR(INDEX('Rent Ledger'!$H$7:$H$1006,MATCH(9,'Rent Ledger'!$N$7:$N$1006,0))&amp;"","")</f>
        <v/>
      </c>
      <c r="F24" s="18">
        <f>IFERROR(INDEX('Rent Ledger'!$I$7:$I$1006,MATCH(9,'Rent Ledger'!$N$7:$N$1006,0))&amp;"","")</f>
        <v/>
      </c>
      <c r="G24" s="37">
        <f>IFERROR(N(INDEX('Rent Ledger'!$J$7:$J$1006,MATCH(9,'Rent Ledger'!$N$7:$N$1006,0))),"")</f>
        <v/>
      </c>
      <c r="H24" s="37">
        <f>IFERROR(N(INDEX('Rent Ledger'!$K$7:$K$1006,MATCH(9,'Rent Ledger'!$N$7:$N$1006,0))),"")</f>
        <v/>
      </c>
      <c r="I24" s="43">
        <f>IF(B24="","",SUM($G$16:G24)-SUM($H$16:H24))</f>
        <v/>
      </c>
    </row>
    <row r="25">
      <c r="B25" s="41">
        <f>IFERROR(INDEX('Rent Ledger'!$B$7:$B$1006,MATCH(10,'Rent Ledger'!$N$7:$N$1006,0)),"")</f>
        <v/>
      </c>
      <c r="C25" s="18">
        <f>IFERROR(INDEX('Rent Ledger'!$F$7:$F$1006,MATCH(10,'Rent Ledger'!$N$7:$N$1006,0))&amp;"","")</f>
        <v/>
      </c>
      <c r="D25" s="18">
        <f>IFERROR(INDEX('Rent Ledger'!$G$7:$G$1006,MATCH(10,'Rent Ledger'!$N$7:$N$1006,0))&amp;"","")</f>
        <v/>
      </c>
      <c r="E25" s="18">
        <f>IFERROR(INDEX('Rent Ledger'!$H$7:$H$1006,MATCH(10,'Rent Ledger'!$N$7:$N$1006,0))&amp;"","")</f>
        <v/>
      </c>
      <c r="F25" s="18">
        <f>IFERROR(INDEX('Rent Ledger'!$I$7:$I$1006,MATCH(10,'Rent Ledger'!$N$7:$N$1006,0))&amp;"","")</f>
        <v/>
      </c>
      <c r="G25" s="37">
        <f>IFERROR(N(INDEX('Rent Ledger'!$J$7:$J$1006,MATCH(10,'Rent Ledger'!$N$7:$N$1006,0))),"")</f>
        <v/>
      </c>
      <c r="H25" s="37">
        <f>IFERROR(N(INDEX('Rent Ledger'!$K$7:$K$1006,MATCH(10,'Rent Ledger'!$N$7:$N$1006,0))),"")</f>
        <v/>
      </c>
      <c r="I25" s="43">
        <f>IF(B25="","",SUM($G$16:G25)-SUM($H$16:H25))</f>
        <v/>
      </c>
    </row>
    <row r="26">
      <c r="B26" s="41">
        <f>IFERROR(INDEX('Rent Ledger'!$B$7:$B$1006,MATCH(11,'Rent Ledger'!$N$7:$N$1006,0)),"")</f>
        <v/>
      </c>
      <c r="C26" s="18">
        <f>IFERROR(INDEX('Rent Ledger'!$F$7:$F$1006,MATCH(11,'Rent Ledger'!$N$7:$N$1006,0))&amp;"","")</f>
        <v/>
      </c>
      <c r="D26" s="18">
        <f>IFERROR(INDEX('Rent Ledger'!$G$7:$G$1006,MATCH(11,'Rent Ledger'!$N$7:$N$1006,0))&amp;"","")</f>
        <v/>
      </c>
      <c r="E26" s="18">
        <f>IFERROR(INDEX('Rent Ledger'!$H$7:$H$1006,MATCH(11,'Rent Ledger'!$N$7:$N$1006,0))&amp;"","")</f>
        <v/>
      </c>
      <c r="F26" s="18">
        <f>IFERROR(INDEX('Rent Ledger'!$I$7:$I$1006,MATCH(11,'Rent Ledger'!$N$7:$N$1006,0))&amp;"","")</f>
        <v/>
      </c>
      <c r="G26" s="37">
        <f>IFERROR(N(INDEX('Rent Ledger'!$J$7:$J$1006,MATCH(11,'Rent Ledger'!$N$7:$N$1006,0))),"")</f>
        <v/>
      </c>
      <c r="H26" s="37">
        <f>IFERROR(N(INDEX('Rent Ledger'!$K$7:$K$1006,MATCH(11,'Rent Ledger'!$N$7:$N$1006,0))),"")</f>
        <v/>
      </c>
      <c r="I26" s="43">
        <f>IF(B26="","",SUM($G$16:G26)-SUM($H$16:H26))</f>
        <v/>
      </c>
    </row>
    <row r="27">
      <c r="B27" s="41">
        <f>IFERROR(INDEX('Rent Ledger'!$B$7:$B$1006,MATCH(12,'Rent Ledger'!$N$7:$N$1006,0)),"")</f>
        <v/>
      </c>
      <c r="C27" s="18">
        <f>IFERROR(INDEX('Rent Ledger'!$F$7:$F$1006,MATCH(12,'Rent Ledger'!$N$7:$N$1006,0))&amp;"","")</f>
        <v/>
      </c>
      <c r="D27" s="18">
        <f>IFERROR(INDEX('Rent Ledger'!$G$7:$G$1006,MATCH(12,'Rent Ledger'!$N$7:$N$1006,0))&amp;"","")</f>
        <v/>
      </c>
      <c r="E27" s="18">
        <f>IFERROR(INDEX('Rent Ledger'!$H$7:$H$1006,MATCH(12,'Rent Ledger'!$N$7:$N$1006,0))&amp;"","")</f>
        <v/>
      </c>
      <c r="F27" s="18">
        <f>IFERROR(INDEX('Rent Ledger'!$I$7:$I$1006,MATCH(12,'Rent Ledger'!$N$7:$N$1006,0))&amp;"","")</f>
        <v/>
      </c>
      <c r="G27" s="37">
        <f>IFERROR(N(INDEX('Rent Ledger'!$J$7:$J$1006,MATCH(12,'Rent Ledger'!$N$7:$N$1006,0))),"")</f>
        <v/>
      </c>
      <c r="H27" s="37">
        <f>IFERROR(N(INDEX('Rent Ledger'!$K$7:$K$1006,MATCH(12,'Rent Ledger'!$N$7:$N$1006,0))),"")</f>
        <v/>
      </c>
      <c r="I27" s="43">
        <f>IF(B27="","",SUM($G$16:G27)-SUM($H$16:H27))</f>
        <v/>
      </c>
    </row>
    <row r="28">
      <c r="B28" s="41">
        <f>IFERROR(INDEX('Rent Ledger'!$B$7:$B$1006,MATCH(13,'Rent Ledger'!$N$7:$N$1006,0)),"")</f>
        <v/>
      </c>
      <c r="C28" s="18">
        <f>IFERROR(INDEX('Rent Ledger'!$F$7:$F$1006,MATCH(13,'Rent Ledger'!$N$7:$N$1006,0))&amp;"","")</f>
        <v/>
      </c>
      <c r="D28" s="18">
        <f>IFERROR(INDEX('Rent Ledger'!$G$7:$G$1006,MATCH(13,'Rent Ledger'!$N$7:$N$1006,0))&amp;"","")</f>
        <v/>
      </c>
      <c r="E28" s="18">
        <f>IFERROR(INDEX('Rent Ledger'!$H$7:$H$1006,MATCH(13,'Rent Ledger'!$N$7:$N$1006,0))&amp;"","")</f>
        <v/>
      </c>
      <c r="F28" s="18">
        <f>IFERROR(INDEX('Rent Ledger'!$I$7:$I$1006,MATCH(13,'Rent Ledger'!$N$7:$N$1006,0))&amp;"","")</f>
        <v/>
      </c>
      <c r="G28" s="37">
        <f>IFERROR(N(INDEX('Rent Ledger'!$J$7:$J$1006,MATCH(13,'Rent Ledger'!$N$7:$N$1006,0))),"")</f>
        <v/>
      </c>
      <c r="H28" s="37">
        <f>IFERROR(N(INDEX('Rent Ledger'!$K$7:$K$1006,MATCH(13,'Rent Ledger'!$N$7:$N$1006,0))),"")</f>
        <v/>
      </c>
      <c r="I28" s="43">
        <f>IF(B28="","",SUM($G$16:G28)-SUM($H$16:H28))</f>
        <v/>
      </c>
    </row>
    <row r="29">
      <c r="B29" s="41">
        <f>IFERROR(INDEX('Rent Ledger'!$B$7:$B$1006,MATCH(14,'Rent Ledger'!$N$7:$N$1006,0)),"")</f>
        <v/>
      </c>
      <c r="C29" s="18">
        <f>IFERROR(INDEX('Rent Ledger'!$F$7:$F$1006,MATCH(14,'Rent Ledger'!$N$7:$N$1006,0))&amp;"","")</f>
        <v/>
      </c>
      <c r="D29" s="18">
        <f>IFERROR(INDEX('Rent Ledger'!$G$7:$G$1006,MATCH(14,'Rent Ledger'!$N$7:$N$1006,0))&amp;"","")</f>
        <v/>
      </c>
      <c r="E29" s="18">
        <f>IFERROR(INDEX('Rent Ledger'!$H$7:$H$1006,MATCH(14,'Rent Ledger'!$N$7:$N$1006,0))&amp;"","")</f>
        <v/>
      </c>
      <c r="F29" s="18">
        <f>IFERROR(INDEX('Rent Ledger'!$I$7:$I$1006,MATCH(14,'Rent Ledger'!$N$7:$N$1006,0))&amp;"","")</f>
        <v/>
      </c>
      <c r="G29" s="37">
        <f>IFERROR(N(INDEX('Rent Ledger'!$J$7:$J$1006,MATCH(14,'Rent Ledger'!$N$7:$N$1006,0))),"")</f>
        <v/>
      </c>
      <c r="H29" s="37">
        <f>IFERROR(N(INDEX('Rent Ledger'!$K$7:$K$1006,MATCH(14,'Rent Ledger'!$N$7:$N$1006,0))),"")</f>
        <v/>
      </c>
      <c r="I29" s="43">
        <f>IF(B29="","",SUM($G$16:G29)-SUM($H$16:H29))</f>
        <v/>
      </c>
    </row>
    <row r="30">
      <c r="B30" s="41">
        <f>IFERROR(INDEX('Rent Ledger'!$B$7:$B$1006,MATCH(15,'Rent Ledger'!$N$7:$N$1006,0)),"")</f>
        <v/>
      </c>
      <c r="C30" s="18">
        <f>IFERROR(INDEX('Rent Ledger'!$F$7:$F$1006,MATCH(15,'Rent Ledger'!$N$7:$N$1006,0))&amp;"","")</f>
        <v/>
      </c>
      <c r="D30" s="18">
        <f>IFERROR(INDEX('Rent Ledger'!$G$7:$G$1006,MATCH(15,'Rent Ledger'!$N$7:$N$1006,0))&amp;"","")</f>
        <v/>
      </c>
      <c r="E30" s="18">
        <f>IFERROR(INDEX('Rent Ledger'!$H$7:$H$1006,MATCH(15,'Rent Ledger'!$N$7:$N$1006,0))&amp;"","")</f>
        <v/>
      </c>
      <c r="F30" s="18">
        <f>IFERROR(INDEX('Rent Ledger'!$I$7:$I$1006,MATCH(15,'Rent Ledger'!$N$7:$N$1006,0))&amp;"","")</f>
        <v/>
      </c>
      <c r="G30" s="37">
        <f>IFERROR(N(INDEX('Rent Ledger'!$J$7:$J$1006,MATCH(15,'Rent Ledger'!$N$7:$N$1006,0))),"")</f>
        <v/>
      </c>
      <c r="H30" s="37">
        <f>IFERROR(N(INDEX('Rent Ledger'!$K$7:$K$1006,MATCH(15,'Rent Ledger'!$N$7:$N$1006,0))),"")</f>
        <v/>
      </c>
      <c r="I30" s="43">
        <f>IF(B30="","",SUM($G$16:G30)-SUM($H$16:H30))</f>
        <v/>
      </c>
    </row>
    <row r="31">
      <c r="B31" s="41">
        <f>IFERROR(INDEX('Rent Ledger'!$B$7:$B$1006,MATCH(16,'Rent Ledger'!$N$7:$N$1006,0)),"")</f>
        <v/>
      </c>
      <c r="C31" s="18">
        <f>IFERROR(INDEX('Rent Ledger'!$F$7:$F$1006,MATCH(16,'Rent Ledger'!$N$7:$N$1006,0))&amp;"","")</f>
        <v/>
      </c>
      <c r="D31" s="18">
        <f>IFERROR(INDEX('Rent Ledger'!$G$7:$G$1006,MATCH(16,'Rent Ledger'!$N$7:$N$1006,0))&amp;"","")</f>
        <v/>
      </c>
      <c r="E31" s="18">
        <f>IFERROR(INDEX('Rent Ledger'!$H$7:$H$1006,MATCH(16,'Rent Ledger'!$N$7:$N$1006,0))&amp;"","")</f>
        <v/>
      </c>
      <c r="F31" s="18">
        <f>IFERROR(INDEX('Rent Ledger'!$I$7:$I$1006,MATCH(16,'Rent Ledger'!$N$7:$N$1006,0))&amp;"","")</f>
        <v/>
      </c>
      <c r="G31" s="37">
        <f>IFERROR(N(INDEX('Rent Ledger'!$J$7:$J$1006,MATCH(16,'Rent Ledger'!$N$7:$N$1006,0))),"")</f>
        <v/>
      </c>
      <c r="H31" s="37">
        <f>IFERROR(N(INDEX('Rent Ledger'!$K$7:$K$1006,MATCH(16,'Rent Ledger'!$N$7:$N$1006,0))),"")</f>
        <v/>
      </c>
      <c r="I31" s="43">
        <f>IF(B31="","",SUM($G$16:G31)-SUM($H$16:H31))</f>
        <v/>
      </c>
    </row>
    <row r="32">
      <c r="B32" s="41">
        <f>IFERROR(INDEX('Rent Ledger'!$B$7:$B$1006,MATCH(17,'Rent Ledger'!$N$7:$N$1006,0)),"")</f>
        <v/>
      </c>
      <c r="C32" s="18">
        <f>IFERROR(INDEX('Rent Ledger'!$F$7:$F$1006,MATCH(17,'Rent Ledger'!$N$7:$N$1006,0))&amp;"","")</f>
        <v/>
      </c>
      <c r="D32" s="18">
        <f>IFERROR(INDEX('Rent Ledger'!$G$7:$G$1006,MATCH(17,'Rent Ledger'!$N$7:$N$1006,0))&amp;"","")</f>
        <v/>
      </c>
      <c r="E32" s="18">
        <f>IFERROR(INDEX('Rent Ledger'!$H$7:$H$1006,MATCH(17,'Rent Ledger'!$N$7:$N$1006,0))&amp;"","")</f>
        <v/>
      </c>
      <c r="F32" s="18">
        <f>IFERROR(INDEX('Rent Ledger'!$I$7:$I$1006,MATCH(17,'Rent Ledger'!$N$7:$N$1006,0))&amp;"","")</f>
        <v/>
      </c>
      <c r="G32" s="37">
        <f>IFERROR(N(INDEX('Rent Ledger'!$J$7:$J$1006,MATCH(17,'Rent Ledger'!$N$7:$N$1006,0))),"")</f>
        <v/>
      </c>
      <c r="H32" s="37">
        <f>IFERROR(N(INDEX('Rent Ledger'!$K$7:$K$1006,MATCH(17,'Rent Ledger'!$N$7:$N$1006,0))),"")</f>
        <v/>
      </c>
      <c r="I32" s="43">
        <f>IF(B32="","",SUM($G$16:G32)-SUM($H$16:H32))</f>
        <v/>
      </c>
    </row>
    <row r="33">
      <c r="B33" s="41">
        <f>IFERROR(INDEX('Rent Ledger'!$B$7:$B$1006,MATCH(18,'Rent Ledger'!$N$7:$N$1006,0)),"")</f>
        <v/>
      </c>
      <c r="C33" s="18">
        <f>IFERROR(INDEX('Rent Ledger'!$F$7:$F$1006,MATCH(18,'Rent Ledger'!$N$7:$N$1006,0))&amp;"","")</f>
        <v/>
      </c>
      <c r="D33" s="18">
        <f>IFERROR(INDEX('Rent Ledger'!$G$7:$G$1006,MATCH(18,'Rent Ledger'!$N$7:$N$1006,0))&amp;"","")</f>
        <v/>
      </c>
      <c r="E33" s="18">
        <f>IFERROR(INDEX('Rent Ledger'!$H$7:$H$1006,MATCH(18,'Rent Ledger'!$N$7:$N$1006,0))&amp;"","")</f>
        <v/>
      </c>
      <c r="F33" s="18">
        <f>IFERROR(INDEX('Rent Ledger'!$I$7:$I$1006,MATCH(18,'Rent Ledger'!$N$7:$N$1006,0))&amp;"","")</f>
        <v/>
      </c>
      <c r="G33" s="37">
        <f>IFERROR(N(INDEX('Rent Ledger'!$J$7:$J$1006,MATCH(18,'Rent Ledger'!$N$7:$N$1006,0))),"")</f>
        <v/>
      </c>
      <c r="H33" s="37">
        <f>IFERROR(N(INDEX('Rent Ledger'!$K$7:$K$1006,MATCH(18,'Rent Ledger'!$N$7:$N$1006,0))),"")</f>
        <v/>
      </c>
      <c r="I33" s="43">
        <f>IF(B33="","",SUM($G$16:G33)-SUM($H$16:H33))</f>
        <v/>
      </c>
    </row>
    <row r="34">
      <c r="B34" s="41">
        <f>IFERROR(INDEX('Rent Ledger'!$B$7:$B$1006,MATCH(19,'Rent Ledger'!$N$7:$N$1006,0)),"")</f>
        <v/>
      </c>
      <c r="C34" s="18">
        <f>IFERROR(INDEX('Rent Ledger'!$F$7:$F$1006,MATCH(19,'Rent Ledger'!$N$7:$N$1006,0))&amp;"","")</f>
        <v/>
      </c>
      <c r="D34" s="18">
        <f>IFERROR(INDEX('Rent Ledger'!$G$7:$G$1006,MATCH(19,'Rent Ledger'!$N$7:$N$1006,0))&amp;"","")</f>
        <v/>
      </c>
      <c r="E34" s="18">
        <f>IFERROR(INDEX('Rent Ledger'!$H$7:$H$1006,MATCH(19,'Rent Ledger'!$N$7:$N$1006,0))&amp;"","")</f>
        <v/>
      </c>
      <c r="F34" s="18">
        <f>IFERROR(INDEX('Rent Ledger'!$I$7:$I$1006,MATCH(19,'Rent Ledger'!$N$7:$N$1006,0))&amp;"","")</f>
        <v/>
      </c>
      <c r="G34" s="37">
        <f>IFERROR(N(INDEX('Rent Ledger'!$J$7:$J$1006,MATCH(19,'Rent Ledger'!$N$7:$N$1006,0))),"")</f>
        <v/>
      </c>
      <c r="H34" s="37">
        <f>IFERROR(N(INDEX('Rent Ledger'!$K$7:$K$1006,MATCH(19,'Rent Ledger'!$N$7:$N$1006,0))),"")</f>
        <v/>
      </c>
      <c r="I34" s="43">
        <f>IF(B34="","",SUM($G$16:G34)-SUM($H$16:H34))</f>
        <v/>
      </c>
    </row>
    <row r="35">
      <c r="B35" s="41">
        <f>IFERROR(INDEX('Rent Ledger'!$B$7:$B$1006,MATCH(20,'Rent Ledger'!$N$7:$N$1006,0)),"")</f>
        <v/>
      </c>
      <c r="C35" s="18">
        <f>IFERROR(INDEX('Rent Ledger'!$F$7:$F$1006,MATCH(20,'Rent Ledger'!$N$7:$N$1006,0))&amp;"","")</f>
        <v/>
      </c>
      <c r="D35" s="18">
        <f>IFERROR(INDEX('Rent Ledger'!$G$7:$G$1006,MATCH(20,'Rent Ledger'!$N$7:$N$1006,0))&amp;"","")</f>
        <v/>
      </c>
      <c r="E35" s="18">
        <f>IFERROR(INDEX('Rent Ledger'!$H$7:$H$1006,MATCH(20,'Rent Ledger'!$N$7:$N$1006,0))&amp;"","")</f>
        <v/>
      </c>
      <c r="F35" s="18">
        <f>IFERROR(INDEX('Rent Ledger'!$I$7:$I$1006,MATCH(20,'Rent Ledger'!$N$7:$N$1006,0))&amp;"","")</f>
        <v/>
      </c>
      <c r="G35" s="37">
        <f>IFERROR(N(INDEX('Rent Ledger'!$J$7:$J$1006,MATCH(20,'Rent Ledger'!$N$7:$N$1006,0))),"")</f>
        <v/>
      </c>
      <c r="H35" s="37">
        <f>IFERROR(N(INDEX('Rent Ledger'!$K$7:$K$1006,MATCH(20,'Rent Ledger'!$N$7:$N$1006,0))),"")</f>
        <v/>
      </c>
      <c r="I35" s="43">
        <f>IF(B35="","",SUM($G$16:G35)-SUM($H$16:H35))</f>
        <v/>
      </c>
    </row>
    <row r="36">
      <c r="B36" s="41">
        <f>IFERROR(INDEX('Rent Ledger'!$B$7:$B$1006,MATCH(21,'Rent Ledger'!$N$7:$N$1006,0)),"")</f>
        <v/>
      </c>
      <c r="C36" s="18">
        <f>IFERROR(INDEX('Rent Ledger'!$F$7:$F$1006,MATCH(21,'Rent Ledger'!$N$7:$N$1006,0))&amp;"","")</f>
        <v/>
      </c>
      <c r="D36" s="18">
        <f>IFERROR(INDEX('Rent Ledger'!$G$7:$G$1006,MATCH(21,'Rent Ledger'!$N$7:$N$1006,0))&amp;"","")</f>
        <v/>
      </c>
      <c r="E36" s="18">
        <f>IFERROR(INDEX('Rent Ledger'!$H$7:$H$1006,MATCH(21,'Rent Ledger'!$N$7:$N$1006,0))&amp;"","")</f>
        <v/>
      </c>
      <c r="F36" s="18">
        <f>IFERROR(INDEX('Rent Ledger'!$I$7:$I$1006,MATCH(21,'Rent Ledger'!$N$7:$N$1006,0))&amp;"","")</f>
        <v/>
      </c>
      <c r="G36" s="37">
        <f>IFERROR(N(INDEX('Rent Ledger'!$J$7:$J$1006,MATCH(21,'Rent Ledger'!$N$7:$N$1006,0))),"")</f>
        <v/>
      </c>
      <c r="H36" s="37">
        <f>IFERROR(N(INDEX('Rent Ledger'!$K$7:$K$1006,MATCH(21,'Rent Ledger'!$N$7:$N$1006,0))),"")</f>
        <v/>
      </c>
      <c r="I36" s="43">
        <f>IF(B36="","",SUM($G$16:G36)-SUM($H$16:H36))</f>
        <v/>
      </c>
    </row>
    <row r="37">
      <c r="B37" s="41">
        <f>IFERROR(INDEX('Rent Ledger'!$B$7:$B$1006,MATCH(22,'Rent Ledger'!$N$7:$N$1006,0)),"")</f>
        <v/>
      </c>
      <c r="C37" s="18">
        <f>IFERROR(INDEX('Rent Ledger'!$F$7:$F$1006,MATCH(22,'Rent Ledger'!$N$7:$N$1006,0))&amp;"","")</f>
        <v/>
      </c>
      <c r="D37" s="18">
        <f>IFERROR(INDEX('Rent Ledger'!$G$7:$G$1006,MATCH(22,'Rent Ledger'!$N$7:$N$1006,0))&amp;"","")</f>
        <v/>
      </c>
      <c r="E37" s="18">
        <f>IFERROR(INDEX('Rent Ledger'!$H$7:$H$1006,MATCH(22,'Rent Ledger'!$N$7:$N$1006,0))&amp;"","")</f>
        <v/>
      </c>
      <c r="F37" s="18">
        <f>IFERROR(INDEX('Rent Ledger'!$I$7:$I$1006,MATCH(22,'Rent Ledger'!$N$7:$N$1006,0))&amp;"","")</f>
        <v/>
      </c>
      <c r="G37" s="37">
        <f>IFERROR(N(INDEX('Rent Ledger'!$J$7:$J$1006,MATCH(22,'Rent Ledger'!$N$7:$N$1006,0))),"")</f>
        <v/>
      </c>
      <c r="H37" s="37">
        <f>IFERROR(N(INDEX('Rent Ledger'!$K$7:$K$1006,MATCH(22,'Rent Ledger'!$N$7:$N$1006,0))),"")</f>
        <v/>
      </c>
      <c r="I37" s="43">
        <f>IF(B37="","",SUM($G$16:G37)-SUM($H$16:H37))</f>
        <v/>
      </c>
    </row>
    <row r="38">
      <c r="B38" s="41">
        <f>IFERROR(INDEX('Rent Ledger'!$B$7:$B$1006,MATCH(23,'Rent Ledger'!$N$7:$N$1006,0)),"")</f>
        <v/>
      </c>
      <c r="C38" s="18">
        <f>IFERROR(INDEX('Rent Ledger'!$F$7:$F$1006,MATCH(23,'Rent Ledger'!$N$7:$N$1006,0))&amp;"","")</f>
        <v/>
      </c>
      <c r="D38" s="18">
        <f>IFERROR(INDEX('Rent Ledger'!$G$7:$G$1006,MATCH(23,'Rent Ledger'!$N$7:$N$1006,0))&amp;"","")</f>
        <v/>
      </c>
      <c r="E38" s="18">
        <f>IFERROR(INDEX('Rent Ledger'!$H$7:$H$1006,MATCH(23,'Rent Ledger'!$N$7:$N$1006,0))&amp;"","")</f>
        <v/>
      </c>
      <c r="F38" s="18">
        <f>IFERROR(INDEX('Rent Ledger'!$I$7:$I$1006,MATCH(23,'Rent Ledger'!$N$7:$N$1006,0))&amp;"","")</f>
        <v/>
      </c>
      <c r="G38" s="37">
        <f>IFERROR(N(INDEX('Rent Ledger'!$J$7:$J$1006,MATCH(23,'Rent Ledger'!$N$7:$N$1006,0))),"")</f>
        <v/>
      </c>
      <c r="H38" s="37">
        <f>IFERROR(N(INDEX('Rent Ledger'!$K$7:$K$1006,MATCH(23,'Rent Ledger'!$N$7:$N$1006,0))),"")</f>
        <v/>
      </c>
      <c r="I38" s="43">
        <f>IF(B38="","",SUM($G$16:G38)-SUM($H$16:H38))</f>
        <v/>
      </c>
    </row>
    <row r="39">
      <c r="B39" s="41">
        <f>IFERROR(INDEX('Rent Ledger'!$B$7:$B$1006,MATCH(24,'Rent Ledger'!$N$7:$N$1006,0)),"")</f>
        <v/>
      </c>
      <c r="C39" s="18">
        <f>IFERROR(INDEX('Rent Ledger'!$F$7:$F$1006,MATCH(24,'Rent Ledger'!$N$7:$N$1006,0))&amp;"","")</f>
        <v/>
      </c>
      <c r="D39" s="18">
        <f>IFERROR(INDEX('Rent Ledger'!$G$7:$G$1006,MATCH(24,'Rent Ledger'!$N$7:$N$1006,0))&amp;"","")</f>
        <v/>
      </c>
      <c r="E39" s="18">
        <f>IFERROR(INDEX('Rent Ledger'!$H$7:$H$1006,MATCH(24,'Rent Ledger'!$N$7:$N$1006,0))&amp;"","")</f>
        <v/>
      </c>
      <c r="F39" s="18">
        <f>IFERROR(INDEX('Rent Ledger'!$I$7:$I$1006,MATCH(24,'Rent Ledger'!$N$7:$N$1006,0))&amp;"","")</f>
        <v/>
      </c>
      <c r="G39" s="37">
        <f>IFERROR(N(INDEX('Rent Ledger'!$J$7:$J$1006,MATCH(24,'Rent Ledger'!$N$7:$N$1006,0))),"")</f>
        <v/>
      </c>
      <c r="H39" s="37">
        <f>IFERROR(N(INDEX('Rent Ledger'!$K$7:$K$1006,MATCH(24,'Rent Ledger'!$N$7:$N$1006,0))),"")</f>
        <v/>
      </c>
      <c r="I39" s="43">
        <f>IF(B39="","",SUM($G$16:G39)-SUM($H$16:H39))</f>
        <v/>
      </c>
    </row>
    <row r="40">
      <c r="B40" s="41">
        <f>IFERROR(INDEX('Rent Ledger'!$B$7:$B$1006,MATCH(25,'Rent Ledger'!$N$7:$N$1006,0)),"")</f>
        <v/>
      </c>
      <c r="C40" s="18">
        <f>IFERROR(INDEX('Rent Ledger'!$F$7:$F$1006,MATCH(25,'Rent Ledger'!$N$7:$N$1006,0))&amp;"","")</f>
        <v/>
      </c>
      <c r="D40" s="18">
        <f>IFERROR(INDEX('Rent Ledger'!$G$7:$G$1006,MATCH(25,'Rent Ledger'!$N$7:$N$1006,0))&amp;"","")</f>
        <v/>
      </c>
      <c r="E40" s="18">
        <f>IFERROR(INDEX('Rent Ledger'!$H$7:$H$1006,MATCH(25,'Rent Ledger'!$N$7:$N$1006,0))&amp;"","")</f>
        <v/>
      </c>
      <c r="F40" s="18">
        <f>IFERROR(INDEX('Rent Ledger'!$I$7:$I$1006,MATCH(25,'Rent Ledger'!$N$7:$N$1006,0))&amp;"","")</f>
        <v/>
      </c>
      <c r="G40" s="37">
        <f>IFERROR(N(INDEX('Rent Ledger'!$J$7:$J$1006,MATCH(25,'Rent Ledger'!$N$7:$N$1006,0))),"")</f>
        <v/>
      </c>
      <c r="H40" s="37">
        <f>IFERROR(N(INDEX('Rent Ledger'!$K$7:$K$1006,MATCH(25,'Rent Ledger'!$N$7:$N$1006,0))),"")</f>
        <v/>
      </c>
      <c r="I40" s="43">
        <f>IF(B40="","",SUM($G$16:G40)-SUM($H$16:H40))</f>
        <v/>
      </c>
    </row>
    <row r="41">
      <c r="B41" s="41">
        <f>IFERROR(INDEX('Rent Ledger'!$B$7:$B$1006,MATCH(26,'Rent Ledger'!$N$7:$N$1006,0)),"")</f>
        <v/>
      </c>
      <c r="C41" s="18">
        <f>IFERROR(INDEX('Rent Ledger'!$F$7:$F$1006,MATCH(26,'Rent Ledger'!$N$7:$N$1006,0))&amp;"","")</f>
        <v/>
      </c>
      <c r="D41" s="18">
        <f>IFERROR(INDEX('Rent Ledger'!$G$7:$G$1006,MATCH(26,'Rent Ledger'!$N$7:$N$1006,0))&amp;"","")</f>
        <v/>
      </c>
      <c r="E41" s="18">
        <f>IFERROR(INDEX('Rent Ledger'!$H$7:$H$1006,MATCH(26,'Rent Ledger'!$N$7:$N$1006,0))&amp;"","")</f>
        <v/>
      </c>
      <c r="F41" s="18">
        <f>IFERROR(INDEX('Rent Ledger'!$I$7:$I$1006,MATCH(26,'Rent Ledger'!$N$7:$N$1006,0))&amp;"","")</f>
        <v/>
      </c>
      <c r="G41" s="37">
        <f>IFERROR(N(INDEX('Rent Ledger'!$J$7:$J$1006,MATCH(26,'Rent Ledger'!$N$7:$N$1006,0))),"")</f>
        <v/>
      </c>
      <c r="H41" s="37">
        <f>IFERROR(N(INDEX('Rent Ledger'!$K$7:$K$1006,MATCH(26,'Rent Ledger'!$N$7:$N$1006,0))),"")</f>
        <v/>
      </c>
      <c r="I41" s="43">
        <f>IF(B41="","",SUM($G$16:G41)-SUM($H$16:H41))</f>
        <v/>
      </c>
    </row>
    <row r="42">
      <c r="B42" s="41">
        <f>IFERROR(INDEX('Rent Ledger'!$B$7:$B$1006,MATCH(27,'Rent Ledger'!$N$7:$N$1006,0)),"")</f>
        <v/>
      </c>
      <c r="C42" s="18">
        <f>IFERROR(INDEX('Rent Ledger'!$F$7:$F$1006,MATCH(27,'Rent Ledger'!$N$7:$N$1006,0))&amp;"","")</f>
        <v/>
      </c>
      <c r="D42" s="18">
        <f>IFERROR(INDEX('Rent Ledger'!$G$7:$G$1006,MATCH(27,'Rent Ledger'!$N$7:$N$1006,0))&amp;"","")</f>
        <v/>
      </c>
      <c r="E42" s="18">
        <f>IFERROR(INDEX('Rent Ledger'!$H$7:$H$1006,MATCH(27,'Rent Ledger'!$N$7:$N$1006,0))&amp;"","")</f>
        <v/>
      </c>
      <c r="F42" s="18">
        <f>IFERROR(INDEX('Rent Ledger'!$I$7:$I$1006,MATCH(27,'Rent Ledger'!$N$7:$N$1006,0))&amp;"","")</f>
        <v/>
      </c>
      <c r="G42" s="37">
        <f>IFERROR(N(INDEX('Rent Ledger'!$J$7:$J$1006,MATCH(27,'Rent Ledger'!$N$7:$N$1006,0))),"")</f>
        <v/>
      </c>
      <c r="H42" s="37">
        <f>IFERROR(N(INDEX('Rent Ledger'!$K$7:$K$1006,MATCH(27,'Rent Ledger'!$N$7:$N$1006,0))),"")</f>
        <v/>
      </c>
      <c r="I42" s="43">
        <f>IF(B42="","",SUM($G$16:G42)-SUM($H$16:H42))</f>
        <v/>
      </c>
    </row>
    <row r="43">
      <c r="B43" s="41">
        <f>IFERROR(INDEX('Rent Ledger'!$B$7:$B$1006,MATCH(28,'Rent Ledger'!$N$7:$N$1006,0)),"")</f>
        <v/>
      </c>
      <c r="C43" s="18">
        <f>IFERROR(INDEX('Rent Ledger'!$F$7:$F$1006,MATCH(28,'Rent Ledger'!$N$7:$N$1006,0))&amp;"","")</f>
        <v/>
      </c>
      <c r="D43" s="18">
        <f>IFERROR(INDEX('Rent Ledger'!$G$7:$G$1006,MATCH(28,'Rent Ledger'!$N$7:$N$1006,0))&amp;"","")</f>
        <v/>
      </c>
      <c r="E43" s="18">
        <f>IFERROR(INDEX('Rent Ledger'!$H$7:$H$1006,MATCH(28,'Rent Ledger'!$N$7:$N$1006,0))&amp;"","")</f>
        <v/>
      </c>
      <c r="F43" s="18">
        <f>IFERROR(INDEX('Rent Ledger'!$I$7:$I$1006,MATCH(28,'Rent Ledger'!$N$7:$N$1006,0))&amp;"","")</f>
        <v/>
      </c>
      <c r="G43" s="37">
        <f>IFERROR(N(INDEX('Rent Ledger'!$J$7:$J$1006,MATCH(28,'Rent Ledger'!$N$7:$N$1006,0))),"")</f>
        <v/>
      </c>
      <c r="H43" s="37">
        <f>IFERROR(N(INDEX('Rent Ledger'!$K$7:$K$1006,MATCH(28,'Rent Ledger'!$N$7:$N$1006,0))),"")</f>
        <v/>
      </c>
      <c r="I43" s="43">
        <f>IF(B43="","",SUM($G$16:G43)-SUM($H$16:H43))</f>
        <v/>
      </c>
    </row>
    <row r="44">
      <c r="B44" s="41">
        <f>IFERROR(INDEX('Rent Ledger'!$B$7:$B$1006,MATCH(29,'Rent Ledger'!$N$7:$N$1006,0)),"")</f>
        <v/>
      </c>
      <c r="C44" s="18">
        <f>IFERROR(INDEX('Rent Ledger'!$F$7:$F$1006,MATCH(29,'Rent Ledger'!$N$7:$N$1006,0))&amp;"","")</f>
        <v/>
      </c>
      <c r="D44" s="18">
        <f>IFERROR(INDEX('Rent Ledger'!$G$7:$G$1006,MATCH(29,'Rent Ledger'!$N$7:$N$1006,0))&amp;"","")</f>
        <v/>
      </c>
      <c r="E44" s="18">
        <f>IFERROR(INDEX('Rent Ledger'!$H$7:$H$1006,MATCH(29,'Rent Ledger'!$N$7:$N$1006,0))&amp;"","")</f>
        <v/>
      </c>
      <c r="F44" s="18">
        <f>IFERROR(INDEX('Rent Ledger'!$I$7:$I$1006,MATCH(29,'Rent Ledger'!$N$7:$N$1006,0))&amp;"","")</f>
        <v/>
      </c>
      <c r="G44" s="37">
        <f>IFERROR(N(INDEX('Rent Ledger'!$J$7:$J$1006,MATCH(29,'Rent Ledger'!$N$7:$N$1006,0))),"")</f>
        <v/>
      </c>
      <c r="H44" s="37">
        <f>IFERROR(N(INDEX('Rent Ledger'!$K$7:$K$1006,MATCH(29,'Rent Ledger'!$N$7:$N$1006,0))),"")</f>
        <v/>
      </c>
      <c r="I44" s="43">
        <f>IF(B44="","",SUM($G$16:G44)-SUM($H$16:H44))</f>
        <v/>
      </c>
    </row>
    <row r="45">
      <c r="B45" s="41">
        <f>IFERROR(INDEX('Rent Ledger'!$B$7:$B$1006,MATCH(30,'Rent Ledger'!$N$7:$N$1006,0)),"")</f>
        <v/>
      </c>
      <c r="C45" s="18">
        <f>IFERROR(INDEX('Rent Ledger'!$F$7:$F$1006,MATCH(30,'Rent Ledger'!$N$7:$N$1006,0))&amp;"","")</f>
        <v/>
      </c>
      <c r="D45" s="18">
        <f>IFERROR(INDEX('Rent Ledger'!$G$7:$G$1006,MATCH(30,'Rent Ledger'!$N$7:$N$1006,0))&amp;"","")</f>
        <v/>
      </c>
      <c r="E45" s="18">
        <f>IFERROR(INDEX('Rent Ledger'!$H$7:$H$1006,MATCH(30,'Rent Ledger'!$N$7:$N$1006,0))&amp;"","")</f>
        <v/>
      </c>
      <c r="F45" s="18">
        <f>IFERROR(INDEX('Rent Ledger'!$I$7:$I$1006,MATCH(30,'Rent Ledger'!$N$7:$N$1006,0))&amp;"","")</f>
        <v/>
      </c>
      <c r="G45" s="37">
        <f>IFERROR(N(INDEX('Rent Ledger'!$J$7:$J$1006,MATCH(30,'Rent Ledger'!$N$7:$N$1006,0))),"")</f>
        <v/>
      </c>
      <c r="H45" s="37">
        <f>IFERROR(N(INDEX('Rent Ledger'!$K$7:$K$1006,MATCH(30,'Rent Ledger'!$N$7:$N$1006,0))),"")</f>
        <v/>
      </c>
      <c r="I45" s="43">
        <f>IF(B45="","",SUM($G$16:G45)-SUM($H$16:H45))</f>
        <v/>
      </c>
    </row>
    <row r="46">
      <c r="B46" s="41">
        <f>IFERROR(INDEX('Rent Ledger'!$B$7:$B$1006,MATCH(31,'Rent Ledger'!$N$7:$N$1006,0)),"")</f>
        <v/>
      </c>
      <c r="C46" s="18">
        <f>IFERROR(INDEX('Rent Ledger'!$F$7:$F$1006,MATCH(31,'Rent Ledger'!$N$7:$N$1006,0))&amp;"","")</f>
        <v/>
      </c>
      <c r="D46" s="18">
        <f>IFERROR(INDEX('Rent Ledger'!$G$7:$G$1006,MATCH(31,'Rent Ledger'!$N$7:$N$1006,0))&amp;"","")</f>
        <v/>
      </c>
      <c r="E46" s="18">
        <f>IFERROR(INDEX('Rent Ledger'!$H$7:$H$1006,MATCH(31,'Rent Ledger'!$N$7:$N$1006,0))&amp;"","")</f>
        <v/>
      </c>
      <c r="F46" s="18">
        <f>IFERROR(INDEX('Rent Ledger'!$I$7:$I$1006,MATCH(31,'Rent Ledger'!$N$7:$N$1006,0))&amp;"","")</f>
        <v/>
      </c>
      <c r="G46" s="37">
        <f>IFERROR(N(INDEX('Rent Ledger'!$J$7:$J$1006,MATCH(31,'Rent Ledger'!$N$7:$N$1006,0))),"")</f>
        <v/>
      </c>
      <c r="H46" s="37">
        <f>IFERROR(N(INDEX('Rent Ledger'!$K$7:$K$1006,MATCH(31,'Rent Ledger'!$N$7:$N$1006,0))),"")</f>
        <v/>
      </c>
      <c r="I46" s="43">
        <f>IF(B46="","",SUM($G$16:G46)-SUM($H$16:H46))</f>
        <v/>
      </c>
    </row>
    <row r="47">
      <c r="B47" s="41">
        <f>IFERROR(INDEX('Rent Ledger'!$B$7:$B$1006,MATCH(32,'Rent Ledger'!$N$7:$N$1006,0)),"")</f>
        <v/>
      </c>
      <c r="C47" s="18">
        <f>IFERROR(INDEX('Rent Ledger'!$F$7:$F$1006,MATCH(32,'Rent Ledger'!$N$7:$N$1006,0))&amp;"","")</f>
        <v/>
      </c>
      <c r="D47" s="18">
        <f>IFERROR(INDEX('Rent Ledger'!$G$7:$G$1006,MATCH(32,'Rent Ledger'!$N$7:$N$1006,0))&amp;"","")</f>
        <v/>
      </c>
      <c r="E47" s="18">
        <f>IFERROR(INDEX('Rent Ledger'!$H$7:$H$1006,MATCH(32,'Rent Ledger'!$N$7:$N$1006,0))&amp;"","")</f>
        <v/>
      </c>
      <c r="F47" s="18">
        <f>IFERROR(INDEX('Rent Ledger'!$I$7:$I$1006,MATCH(32,'Rent Ledger'!$N$7:$N$1006,0))&amp;"","")</f>
        <v/>
      </c>
      <c r="G47" s="37">
        <f>IFERROR(N(INDEX('Rent Ledger'!$J$7:$J$1006,MATCH(32,'Rent Ledger'!$N$7:$N$1006,0))),"")</f>
        <v/>
      </c>
      <c r="H47" s="37">
        <f>IFERROR(N(INDEX('Rent Ledger'!$K$7:$K$1006,MATCH(32,'Rent Ledger'!$N$7:$N$1006,0))),"")</f>
        <v/>
      </c>
      <c r="I47" s="43">
        <f>IF(B47="","",SUM($G$16:G47)-SUM($H$16:H47))</f>
        <v/>
      </c>
    </row>
    <row r="48">
      <c r="B48" s="41">
        <f>IFERROR(INDEX('Rent Ledger'!$B$7:$B$1006,MATCH(33,'Rent Ledger'!$N$7:$N$1006,0)),"")</f>
        <v/>
      </c>
      <c r="C48" s="18">
        <f>IFERROR(INDEX('Rent Ledger'!$F$7:$F$1006,MATCH(33,'Rent Ledger'!$N$7:$N$1006,0))&amp;"","")</f>
        <v/>
      </c>
      <c r="D48" s="18">
        <f>IFERROR(INDEX('Rent Ledger'!$G$7:$G$1006,MATCH(33,'Rent Ledger'!$N$7:$N$1006,0))&amp;"","")</f>
        <v/>
      </c>
      <c r="E48" s="18">
        <f>IFERROR(INDEX('Rent Ledger'!$H$7:$H$1006,MATCH(33,'Rent Ledger'!$N$7:$N$1006,0))&amp;"","")</f>
        <v/>
      </c>
      <c r="F48" s="18">
        <f>IFERROR(INDEX('Rent Ledger'!$I$7:$I$1006,MATCH(33,'Rent Ledger'!$N$7:$N$1006,0))&amp;"","")</f>
        <v/>
      </c>
      <c r="G48" s="37">
        <f>IFERROR(N(INDEX('Rent Ledger'!$J$7:$J$1006,MATCH(33,'Rent Ledger'!$N$7:$N$1006,0))),"")</f>
        <v/>
      </c>
      <c r="H48" s="37">
        <f>IFERROR(N(INDEX('Rent Ledger'!$K$7:$K$1006,MATCH(33,'Rent Ledger'!$N$7:$N$1006,0))),"")</f>
        <v/>
      </c>
      <c r="I48" s="43">
        <f>IF(B48="","",SUM($G$16:G48)-SUM($H$16:H48))</f>
        <v/>
      </c>
    </row>
    <row r="49">
      <c r="B49" s="41">
        <f>IFERROR(INDEX('Rent Ledger'!$B$7:$B$1006,MATCH(34,'Rent Ledger'!$N$7:$N$1006,0)),"")</f>
        <v/>
      </c>
      <c r="C49" s="18">
        <f>IFERROR(INDEX('Rent Ledger'!$F$7:$F$1006,MATCH(34,'Rent Ledger'!$N$7:$N$1006,0))&amp;"","")</f>
        <v/>
      </c>
      <c r="D49" s="18">
        <f>IFERROR(INDEX('Rent Ledger'!$G$7:$G$1006,MATCH(34,'Rent Ledger'!$N$7:$N$1006,0))&amp;"","")</f>
        <v/>
      </c>
      <c r="E49" s="18">
        <f>IFERROR(INDEX('Rent Ledger'!$H$7:$H$1006,MATCH(34,'Rent Ledger'!$N$7:$N$1006,0))&amp;"","")</f>
        <v/>
      </c>
      <c r="F49" s="18">
        <f>IFERROR(INDEX('Rent Ledger'!$I$7:$I$1006,MATCH(34,'Rent Ledger'!$N$7:$N$1006,0))&amp;"","")</f>
        <v/>
      </c>
      <c r="G49" s="37">
        <f>IFERROR(N(INDEX('Rent Ledger'!$J$7:$J$1006,MATCH(34,'Rent Ledger'!$N$7:$N$1006,0))),"")</f>
        <v/>
      </c>
      <c r="H49" s="37">
        <f>IFERROR(N(INDEX('Rent Ledger'!$K$7:$K$1006,MATCH(34,'Rent Ledger'!$N$7:$N$1006,0))),"")</f>
        <v/>
      </c>
      <c r="I49" s="43">
        <f>IF(B49="","",SUM($G$16:G49)-SUM($H$16:H49))</f>
        <v/>
      </c>
    </row>
    <row r="50">
      <c r="B50" s="41">
        <f>IFERROR(INDEX('Rent Ledger'!$B$7:$B$1006,MATCH(35,'Rent Ledger'!$N$7:$N$1006,0)),"")</f>
        <v/>
      </c>
      <c r="C50" s="18">
        <f>IFERROR(INDEX('Rent Ledger'!$F$7:$F$1006,MATCH(35,'Rent Ledger'!$N$7:$N$1006,0))&amp;"","")</f>
        <v/>
      </c>
      <c r="D50" s="18">
        <f>IFERROR(INDEX('Rent Ledger'!$G$7:$G$1006,MATCH(35,'Rent Ledger'!$N$7:$N$1006,0))&amp;"","")</f>
        <v/>
      </c>
      <c r="E50" s="18">
        <f>IFERROR(INDEX('Rent Ledger'!$H$7:$H$1006,MATCH(35,'Rent Ledger'!$N$7:$N$1006,0))&amp;"","")</f>
        <v/>
      </c>
      <c r="F50" s="18">
        <f>IFERROR(INDEX('Rent Ledger'!$I$7:$I$1006,MATCH(35,'Rent Ledger'!$N$7:$N$1006,0))&amp;"","")</f>
        <v/>
      </c>
      <c r="G50" s="37">
        <f>IFERROR(N(INDEX('Rent Ledger'!$J$7:$J$1006,MATCH(35,'Rent Ledger'!$N$7:$N$1006,0))),"")</f>
        <v/>
      </c>
      <c r="H50" s="37">
        <f>IFERROR(N(INDEX('Rent Ledger'!$K$7:$K$1006,MATCH(35,'Rent Ledger'!$N$7:$N$1006,0))),"")</f>
        <v/>
      </c>
      <c r="I50" s="43">
        <f>IF(B50="","",SUM($G$16:G50)-SUM($H$16:H50))</f>
        <v/>
      </c>
    </row>
    <row r="51">
      <c r="B51" s="41">
        <f>IFERROR(INDEX('Rent Ledger'!$B$7:$B$1006,MATCH(36,'Rent Ledger'!$N$7:$N$1006,0)),"")</f>
        <v/>
      </c>
      <c r="C51" s="18">
        <f>IFERROR(INDEX('Rent Ledger'!$F$7:$F$1006,MATCH(36,'Rent Ledger'!$N$7:$N$1006,0))&amp;"","")</f>
        <v/>
      </c>
      <c r="D51" s="18">
        <f>IFERROR(INDEX('Rent Ledger'!$G$7:$G$1006,MATCH(36,'Rent Ledger'!$N$7:$N$1006,0))&amp;"","")</f>
        <v/>
      </c>
      <c r="E51" s="18">
        <f>IFERROR(INDEX('Rent Ledger'!$H$7:$H$1006,MATCH(36,'Rent Ledger'!$N$7:$N$1006,0))&amp;"","")</f>
        <v/>
      </c>
      <c r="F51" s="18">
        <f>IFERROR(INDEX('Rent Ledger'!$I$7:$I$1006,MATCH(36,'Rent Ledger'!$N$7:$N$1006,0))&amp;"","")</f>
        <v/>
      </c>
      <c r="G51" s="37">
        <f>IFERROR(N(INDEX('Rent Ledger'!$J$7:$J$1006,MATCH(36,'Rent Ledger'!$N$7:$N$1006,0))),"")</f>
        <v/>
      </c>
      <c r="H51" s="37">
        <f>IFERROR(N(INDEX('Rent Ledger'!$K$7:$K$1006,MATCH(36,'Rent Ledger'!$N$7:$N$1006,0))),"")</f>
        <v/>
      </c>
      <c r="I51" s="43">
        <f>IF(B51="","",SUM($G$16:G51)-SUM($H$16:H51))</f>
        <v/>
      </c>
    </row>
    <row r="52">
      <c r="B52" s="41">
        <f>IFERROR(INDEX('Rent Ledger'!$B$7:$B$1006,MATCH(37,'Rent Ledger'!$N$7:$N$1006,0)),"")</f>
        <v/>
      </c>
      <c r="C52" s="18">
        <f>IFERROR(INDEX('Rent Ledger'!$F$7:$F$1006,MATCH(37,'Rent Ledger'!$N$7:$N$1006,0))&amp;"","")</f>
        <v/>
      </c>
      <c r="D52" s="18">
        <f>IFERROR(INDEX('Rent Ledger'!$G$7:$G$1006,MATCH(37,'Rent Ledger'!$N$7:$N$1006,0))&amp;"","")</f>
        <v/>
      </c>
      <c r="E52" s="18">
        <f>IFERROR(INDEX('Rent Ledger'!$H$7:$H$1006,MATCH(37,'Rent Ledger'!$N$7:$N$1006,0))&amp;"","")</f>
        <v/>
      </c>
      <c r="F52" s="18">
        <f>IFERROR(INDEX('Rent Ledger'!$I$7:$I$1006,MATCH(37,'Rent Ledger'!$N$7:$N$1006,0))&amp;"","")</f>
        <v/>
      </c>
      <c r="G52" s="37">
        <f>IFERROR(N(INDEX('Rent Ledger'!$J$7:$J$1006,MATCH(37,'Rent Ledger'!$N$7:$N$1006,0))),"")</f>
        <v/>
      </c>
      <c r="H52" s="37">
        <f>IFERROR(N(INDEX('Rent Ledger'!$K$7:$K$1006,MATCH(37,'Rent Ledger'!$N$7:$N$1006,0))),"")</f>
        <v/>
      </c>
      <c r="I52" s="43">
        <f>IF(B52="","",SUM($G$16:G52)-SUM($H$16:H52))</f>
        <v/>
      </c>
    </row>
    <row r="53">
      <c r="B53" s="41">
        <f>IFERROR(INDEX('Rent Ledger'!$B$7:$B$1006,MATCH(38,'Rent Ledger'!$N$7:$N$1006,0)),"")</f>
        <v/>
      </c>
      <c r="C53" s="18">
        <f>IFERROR(INDEX('Rent Ledger'!$F$7:$F$1006,MATCH(38,'Rent Ledger'!$N$7:$N$1006,0))&amp;"","")</f>
        <v/>
      </c>
      <c r="D53" s="18">
        <f>IFERROR(INDEX('Rent Ledger'!$G$7:$G$1006,MATCH(38,'Rent Ledger'!$N$7:$N$1006,0))&amp;"","")</f>
        <v/>
      </c>
      <c r="E53" s="18">
        <f>IFERROR(INDEX('Rent Ledger'!$H$7:$H$1006,MATCH(38,'Rent Ledger'!$N$7:$N$1006,0))&amp;"","")</f>
        <v/>
      </c>
      <c r="F53" s="18">
        <f>IFERROR(INDEX('Rent Ledger'!$I$7:$I$1006,MATCH(38,'Rent Ledger'!$N$7:$N$1006,0))&amp;"","")</f>
        <v/>
      </c>
      <c r="G53" s="37">
        <f>IFERROR(N(INDEX('Rent Ledger'!$J$7:$J$1006,MATCH(38,'Rent Ledger'!$N$7:$N$1006,0))),"")</f>
        <v/>
      </c>
      <c r="H53" s="37">
        <f>IFERROR(N(INDEX('Rent Ledger'!$K$7:$K$1006,MATCH(38,'Rent Ledger'!$N$7:$N$1006,0))),"")</f>
        <v/>
      </c>
      <c r="I53" s="43">
        <f>IF(B53="","",SUM($G$16:G53)-SUM($H$16:H53))</f>
        <v/>
      </c>
    </row>
    <row r="54">
      <c r="B54" s="41">
        <f>IFERROR(INDEX('Rent Ledger'!$B$7:$B$1006,MATCH(39,'Rent Ledger'!$N$7:$N$1006,0)),"")</f>
        <v/>
      </c>
      <c r="C54" s="18">
        <f>IFERROR(INDEX('Rent Ledger'!$F$7:$F$1006,MATCH(39,'Rent Ledger'!$N$7:$N$1006,0))&amp;"","")</f>
        <v/>
      </c>
      <c r="D54" s="18">
        <f>IFERROR(INDEX('Rent Ledger'!$G$7:$G$1006,MATCH(39,'Rent Ledger'!$N$7:$N$1006,0))&amp;"","")</f>
        <v/>
      </c>
      <c r="E54" s="18">
        <f>IFERROR(INDEX('Rent Ledger'!$H$7:$H$1006,MATCH(39,'Rent Ledger'!$N$7:$N$1006,0))&amp;"","")</f>
        <v/>
      </c>
      <c r="F54" s="18">
        <f>IFERROR(INDEX('Rent Ledger'!$I$7:$I$1006,MATCH(39,'Rent Ledger'!$N$7:$N$1006,0))&amp;"","")</f>
        <v/>
      </c>
      <c r="G54" s="37">
        <f>IFERROR(N(INDEX('Rent Ledger'!$J$7:$J$1006,MATCH(39,'Rent Ledger'!$N$7:$N$1006,0))),"")</f>
        <v/>
      </c>
      <c r="H54" s="37">
        <f>IFERROR(N(INDEX('Rent Ledger'!$K$7:$K$1006,MATCH(39,'Rent Ledger'!$N$7:$N$1006,0))),"")</f>
        <v/>
      </c>
      <c r="I54" s="43">
        <f>IF(B54="","",SUM($G$16:G54)-SUM($H$16:H54))</f>
        <v/>
      </c>
    </row>
    <row r="55">
      <c r="B55" s="41">
        <f>IFERROR(INDEX('Rent Ledger'!$B$7:$B$1006,MATCH(40,'Rent Ledger'!$N$7:$N$1006,0)),"")</f>
        <v/>
      </c>
      <c r="C55" s="18">
        <f>IFERROR(INDEX('Rent Ledger'!$F$7:$F$1006,MATCH(40,'Rent Ledger'!$N$7:$N$1006,0))&amp;"","")</f>
        <v/>
      </c>
      <c r="D55" s="18">
        <f>IFERROR(INDEX('Rent Ledger'!$G$7:$G$1006,MATCH(40,'Rent Ledger'!$N$7:$N$1006,0))&amp;"","")</f>
        <v/>
      </c>
      <c r="E55" s="18">
        <f>IFERROR(INDEX('Rent Ledger'!$H$7:$H$1006,MATCH(40,'Rent Ledger'!$N$7:$N$1006,0))&amp;"","")</f>
        <v/>
      </c>
      <c r="F55" s="18">
        <f>IFERROR(INDEX('Rent Ledger'!$I$7:$I$1006,MATCH(40,'Rent Ledger'!$N$7:$N$1006,0))&amp;"","")</f>
        <v/>
      </c>
      <c r="G55" s="37">
        <f>IFERROR(N(INDEX('Rent Ledger'!$J$7:$J$1006,MATCH(40,'Rent Ledger'!$N$7:$N$1006,0))),"")</f>
        <v/>
      </c>
      <c r="H55" s="37">
        <f>IFERROR(N(INDEX('Rent Ledger'!$K$7:$K$1006,MATCH(40,'Rent Ledger'!$N$7:$N$1006,0))),"")</f>
        <v/>
      </c>
      <c r="I55" s="43">
        <f>IF(B55="","",SUM($G$16:G55)-SUM($H$16:H55))</f>
        <v/>
      </c>
    </row>
    <row r="56">
      <c r="B56" s="41">
        <f>IFERROR(INDEX('Rent Ledger'!$B$7:$B$1006,MATCH(41,'Rent Ledger'!$N$7:$N$1006,0)),"")</f>
        <v/>
      </c>
      <c r="C56" s="18">
        <f>IFERROR(INDEX('Rent Ledger'!$F$7:$F$1006,MATCH(41,'Rent Ledger'!$N$7:$N$1006,0))&amp;"","")</f>
        <v/>
      </c>
      <c r="D56" s="18">
        <f>IFERROR(INDEX('Rent Ledger'!$G$7:$G$1006,MATCH(41,'Rent Ledger'!$N$7:$N$1006,0))&amp;"","")</f>
        <v/>
      </c>
      <c r="E56" s="18">
        <f>IFERROR(INDEX('Rent Ledger'!$H$7:$H$1006,MATCH(41,'Rent Ledger'!$N$7:$N$1006,0))&amp;"","")</f>
        <v/>
      </c>
      <c r="F56" s="18">
        <f>IFERROR(INDEX('Rent Ledger'!$I$7:$I$1006,MATCH(41,'Rent Ledger'!$N$7:$N$1006,0))&amp;"","")</f>
        <v/>
      </c>
      <c r="G56" s="37">
        <f>IFERROR(N(INDEX('Rent Ledger'!$J$7:$J$1006,MATCH(41,'Rent Ledger'!$N$7:$N$1006,0))),"")</f>
        <v/>
      </c>
      <c r="H56" s="37">
        <f>IFERROR(N(INDEX('Rent Ledger'!$K$7:$K$1006,MATCH(41,'Rent Ledger'!$N$7:$N$1006,0))),"")</f>
        <v/>
      </c>
      <c r="I56" s="43">
        <f>IF(B56="","",SUM($G$16:G56)-SUM($H$16:H56))</f>
        <v/>
      </c>
    </row>
    <row r="57">
      <c r="B57" s="41">
        <f>IFERROR(INDEX('Rent Ledger'!$B$7:$B$1006,MATCH(42,'Rent Ledger'!$N$7:$N$1006,0)),"")</f>
        <v/>
      </c>
      <c r="C57" s="18">
        <f>IFERROR(INDEX('Rent Ledger'!$F$7:$F$1006,MATCH(42,'Rent Ledger'!$N$7:$N$1006,0))&amp;"","")</f>
        <v/>
      </c>
      <c r="D57" s="18">
        <f>IFERROR(INDEX('Rent Ledger'!$G$7:$G$1006,MATCH(42,'Rent Ledger'!$N$7:$N$1006,0))&amp;"","")</f>
        <v/>
      </c>
      <c r="E57" s="18">
        <f>IFERROR(INDEX('Rent Ledger'!$H$7:$H$1006,MATCH(42,'Rent Ledger'!$N$7:$N$1006,0))&amp;"","")</f>
        <v/>
      </c>
      <c r="F57" s="18">
        <f>IFERROR(INDEX('Rent Ledger'!$I$7:$I$1006,MATCH(42,'Rent Ledger'!$N$7:$N$1006,0))&amp;"","")</f>
        <v/>
      </c>
      <c r="G57" s="37">
        <f>IFERROR(N(INDEX('Rent Ledger'!$J$7:$J$1006,MATCH(42,'Rent Ledger'!$N$7:$N$1006,0))),"")</f>
        <v/>
      </c>
      <c r="H57" s="37">
        <f>IFERROR(N(INDEX('Rent Ledger'!$K$7:$K$1006,MATCH(42,'Rent Ledger'!$N$7:$N$1006,0))),"")</f>
        <v/>
      </c>
      <c r="I57" s="43">
        <f>IF(B57="","",SUM($G$16:G57)-SUM($H$16:H57))</f>
        <v/>
      </c>
    </row>
    <row r="58">
      <c r="B58" s="41">
        <f>IFERROR(INDEX('Rent Ledger'!$B$7:$B$1006,MATCH(43,'Rent Ledger'!$N$7:$N$1006,0)),"")</f>
        <v/>
      </c>
      <c r="C58" s="18">
        <f>IFERROR(INDEX('Rent Ledger'!$F$7:$F$1006,MATCH(43,'Rent Ledger'!$N$7:$N$1006,0))&amp;"","")</f>
        <v/>
      </c>
      <c r="D58" s="18">
        <f>IFERROR(INDEX('Rent Ledger'!$G$7:$G$1006,MATCH(43,'Rent Ledger'!$N$7:$N$1006,0))&amp;"","")</f>
        <v/>
      </c>
      <c r="E58" s="18">
        <f>IFERROR(INDEX('Rent Ledger'!$H$7:$H$1006,MATCH(43,'Rent Ledger'!$N$7:$N$1006,0))&amp;"","")</f>
        <v/>
      </c>
      <c r="F58" s="18">
        <f>IFERROR(INDEX('Rent Ledger'!$I$7:$I$1006,MATCH(43,'Rent Ledger'!$N$7:$N$1006,0))&amp;"","")</f>
        <v/>
      </c>
      <c r="G58" s="37">
        <f>IFERROR(N(INDEX('Rent Ledger'!$J$7:$J$1006,MATCH(43,'Rent Ledger'!$N$7:$N$1006,0))),"")</f>
        <v/>
      </c>
      <c r="H58" s="37">
        <f>IFERROR(N(INDEX('Rent Ledger'!$K$7:$K$1006,MATCH(43,'Rent Ledger'!$N$7:$N$1006,0))),"")</f>
        <v/>
      </c>
      <c r="I58" s="43">
        <f>IF(B58="","",SUM($G$16:G58)-SUM($H$16:H58))</f>
        <v/>
      </c>
    </row>
    <row r="59">
      <c r="B59" s="41">
        <f>IFERROR(INDEX('Rent Ledger'!$B$7:$B$1006,MATCH(44,'Rent Ledger'!$N$7:$N$1006,0)),"")</f>
        <v/>
      </c>
      <c r="C59" s="18">
        <f>IFERROR(INDEX('Rent Ledger'!$F$7:$F$1006,MATCH(44,'Rent Ledger'!$N$7:$N$1006,0))&amp;"","")</f>
        <v/>
      </c>
      <c r="D59" s="18">
        <f>IFERROR(INDEX('Rent Ledger'!$G$7:$G$1006,MATCH(44,'Rent Ledger'!$N$7:$N$1006,0))&amp;"","")</f>
        <v/>
      </c>
      <c r="E59" s="18">
        <f>IFERROR(INDEX('Rent Ledger'!$H$7:$H$1006,MATCH(44,'Rent Ledger'!$N$7:$N$1006,0))&amp;"","")</f>
        <v/>
      </c>
      <c r="F59" s="18">
        <f>IFERROR(INDEX('Rent Ledger'!$I$7:$I$1006,MATCH(44,'Rent Ledger'!$N$7:$N$1006,0))&amp;"","")</f>
        <v/>
      </c>
      <c r="G59" s="37">
        <f>IFERROR(N(INDEX('Rent Ledger'!$J$7:$J$1006,MATCH(44,'Rent Ledger'!$N$7:$N$1006,0))),"")</f>
        <v/>
      </c>
      <c r="H59" s="37">
        <f>IFERROR(N(INDEX('Rent Ledger'!$K$7:$K$1006,MATCH(44,'Rent Ledger'!$N$7:$N$1006,0))),"")</f>
        <v/>
      </c>
      <c r="I59" s="43">
        <f>IF(B59="","",SUM($G$16:G59)-SUM($H$16:H59))</f>
        <v/>
      </c>
    </row>
    <row r="60">
      <c r="B60" s="41">
        <f>IFERROR(INDEX('Rent Ledger'!$B$7:$B$1006,MATCH(45,'Rent Ledger'!$N$7:$N$1006,0)),"")</f>
        <v/>
      </c>
      <c r="C60" s="18">
        <f>IFERROR(INDEX('Rent Ledger'!$F$7:$F$1006,MATCH(45,'Rent Ledger'!$N$7:$N$1006,0))&amp;"","")</f>
        <v/>
      </c>
      <c r="D60" s="18">
        <f>IFERROR(INDEX('Rent Ledger'!$G$7:$G$1006,MATCH(45,'Rent Ledger'!$N$7:$N$1006,0))&amp;"","")</f>
        <v/>
      </c>
      <c r="E60" s="18">
        <f>IFERROR(INDEX('Rent Ledger'!$H$7:$H$1006,MATCH(45,'Rent Ledger'!$N$7:$N$1006,0))&amp;"","")</f>
        <v/>
      </c>
      <c r="F60" s="18">
        <f>IFERROR(INDEX('Rent Ledger'!$I$7:$I$1006,MATCH(45,'Rent Ledger'!$N$7:$N$1006,0))&amp;"","")</f>
        <v/>
      </c>
      <c r="G60" s="37">
        <f>IFERROR(N(INDEX('Rent Ledger'!$J$7:$J$1006,MATCH(45,'Rent Ledger'!$N$7:$N$1006,0))),"")</f>
        <v/>
      </c>
      <c r="H60" s="37">
        <f>IFERROR(N(INDEX('Rent Ledger'!$K$7:$K$1006,MATCH(45,'Rent Ledger'!$N$7:$N$1006,0))),"")</f>
        <v/>
      </c>
      <c r="I60" s="43">
        <f>IF(B60="","",SUM($G$16:G60)-SUM($H$16:H60))</f>
        <v/>
      </c>
    </row>
    <row r="61">
      <c r="B61" s="41">
        <f>IFERROR(INDEX('Rent Ledger'!$B$7:$B$1006,MATCH(46,'Rent Ledger'!$N$7:$N$1006,0)),"")</f>
        <v/>
      </c>
      <c r="C61" s="18">
        <f>IFERROR(INDEX('Rent Ledger'!$F$7:$F$1006,MATCH(46,'Rent Ledger'!$N$7:$N$1006,0))&amp;"","")</f>
        <v/>
      </c>
      <c r="D61" s="18">
        <f>IFERROR(INDEX('Rent Ledger'!$G$7:$G$1006,MATCH(46,'Rent Ledger'!$N$7:$N$1006,0))&amp;"","")</f>
        <v/>
      </c>
      <c r="E61" s="18">
        <f>IFERROR(INDEX('Rent Ledger'!$H$7:$H$1006,MATCH(46,'Rent Ledger'!$N$7:$N$1006,0))&amp;"","")</f>
        <v/>
      </c>
      <c r="F61" s="18">
        <f>IFERROR(INDEX('Rent Ledger'!$I$7:$I$1006,MATCH(46,'Rent Ledger'!$N$7:$N$1006,0))&amp;"","")</f>
        <v/>
      </c>
      <c r="G61" s="37">
        <f>IFERROR(N(INDEX('Rent Ledger'!$J$7:$J$1006,MATCH(46,'Rent Ledger'!$N$7:$N$1006,0))),"")</f>
        <v/>
      </c>
      <c r="H61" s="37">
        <f>IFERROR(N(INDEX('Rent Ledger'!$K$7:$K$1006,MATCH(46,'Rent Ledger'!$N$7:$N$1006,0))),"")</f>
        <v/>
      </c>
      <c r="I61" s="43">
        <f>IF(B61="","",SUM($G$16:G61)-SUM($H$16:H61))</f>
        <v/>
      </c>
    </row>
    <row r="62">
      <c r="B62" s="41">
        <f>IFERROR(INDEX('Rent Ledger'!$B$7:$B$1006,MATCH(47,'Rent Ledger'!$N$7:$N$1006,0)),"")</f>
        <v/>
      </c>
      <c r="C62" s="18">
        <f>IFERROR(INDEX('Rent Ledger'!$F$7:$F$1006,MATCH(47,'Rent Ledger'!$N$7:$N$1006,0))&amp;"","")</f>
        <v/>
      </c>
      <c r="D62" s="18">
        <f>IFERROR(INDEX('Rent Ledger'!$G$7:$G$1006,MATCH(47,'Rent Ledger'!$N$7:$N$1006,0))&amp;"","")</f>
        <v/>
      </c>
      <c r="E62" s="18">
        <f>IFERROR(INDEX('Rent Ledger'!$H$7:$H$1006,MATCH(47,'Rent Ledger'!$N$7:$N$1006,0))&amp;"","")</f>
        <v/>
      </c>
      <c r="F62" s="18">
        <f>IFERROR(INDEX('Rent Ledger'!$I$7:$I$1006,MATCH(47,'Rent Ledger'!$N$7:$N$1006,0))&amp;"","")</f>
        <v/>
      </c>
      <c r="G62" s="37">
        <f>IFERROR(N(INDEX('Rent Ledger'!$J$7:$J$1006,MATCH(47,'Rent Ledger'!$N$7:$N$1006,0))),"")</f>
        <v/>
      </c>
      <c r="H62" s="37">
        <f>IFERROR(N(INDEX('Rent Ledger'!$K$7:$K$1006,MATCH(47,'Rent Ledger'!$N$7:$N$1006,0))),"")</f>
        <v/>
      </c>
      <c r="I62" s="43">
        <f>IF(B62="","",SUM($G$16:G62)-SUM($H$16:H62))</f>
        <v/>
      </c>
    </row>
    <row r="63">
      <c r="B63" s="41">
        <f>IFERROR(INDEX('Rent Ledger'!$B$7:$B$1006,MATCH(48,'Rent Ledger'!$N$7:$N$1006,0)),"")</f>
        <v/>
      </c>
      <c r="C63" s="18">
        <f>IFERROR(INDEX('Rent Ledger'!$F$7:$F$1006,MATCH(48,'Rent Ledger'!$N$7:$N$1006,0))&amp;"","")</f>
        <v/>
      </c>
      <c r="D63" s="18">
        <f>IFERROR(INDEX('Rent Ledger'!$G$7:$G$1006,MATCH(48,'Rent Ledger'!$N$7:$N$1006,0))&amp;"","")</f>
        <v/>
      </c>
      <c r="E63" s="18">
        <f>IFERROR(INDEX('Rent Ledger'!$H$7:$H$1006,MATCH(48,'Rent Ledger'!$N$7:$N$1006,0))&amp;"","")</f>
        <v/>
      </c>
      <c r="F63" s="18">
        <f>IFERROR(INDEX('Rent Ledger'!$I$7:$I$1006,MATCH(48,'Rent Ledger'!$N$7:$N$1006,0))&amp;"","")</f>
        <v/>
      </c>
      <c r="G63" s="37">
        <f>IFERROR(N(INDEX('Rent Ledger'!$J$7:$J$1006,MATCH(48,'Rent Ledger'!$N$7:$N$1006,0))),"")</f>
        <v/>
      </c>
      <c r="H63" s="37">
        <f>IFERROR(N(INDEX('Rent Ledger'!$K$7:$K$1006,MATCH(48,'Rent Ledger'!$N$7:$N$1006,0))),"")</f>
        <v/>
      </c>
      <c r="I63" s="43">
        <f>IF(B63="","",SUM($G$16:G63)-SUM($H$16:H63))</f>
        <v/>
      </c>
    </row>
    <row r="64">
      <c r="B64" s="41">
        <f>IFERROR(INDEX('Rent Ledger'!$B$7:$B$1006,MATCH(49,'Rent Ledger'!$N$7:$N$1006,0)),"")</f>
        <v/>
      </c>
      <c r="C64" s="18">
        <f>IFERROR(INDEX('Rent Ledger'!$F$7:$F$1006,MATCH(49,'Rent Ledger'!$N$7:$N$1006,0))&amp;"","")</f>
        <v/>
      </c>
      <c r="D64" s="18">
        <f>IFERROR(INDEX('Rent Ledger'!$G$7:$G$1006,MATCH(49,'Rent Ledger'!$N$7:$N$1006,0))&amp;"","")</f>
        <v/>
      </c>
      <c r="E64" s="18">
        <f>IFERROR(INDEX('Rent Ledger'!$H$7:$H$1006,MATCH(49,'Rent Ledger'!$N$7:$N$1006,0))&amp;"","")</f>
        <v/>
      </c>
      <c r="F64" s="18">
        <f>IFERROR(INDEX('Rent Ledger'!$I$7:$I$1006,MATCH(49,'Rent Ledger'!$N$7:$N$1006,0))&amp;"","")</f>
        <v/>
      </c>
      <c r="G64" s="37">
        <f>IFERROR(N(INDEX('Rent Ledger'!$J$7:$J$1006,MATCH(49,'Rent Ledger'!$N$7:$N$1006,0))),"")</f>
        <v/>
      </c>
      <c r="H64" s="37">
        <f>IFERROR(N(INDEX('Rent Ledger'!$K$7:$K$1006,MATCH(49,'Rent Ledger'!$N$7:$N$1006,0))),"")</f>
        <v/>
      </c>
      <c r="I64" s="43">
        <f>IF(B64="","",SUM($G$16:G64)-SUM($H$16:H64))</f>
        <v/>
      </c>
    </row>
    <row r="65">
      <c r="B65" s="41">
        <f>IFERROR(INDEX('Rent Ledger'!$B$7:$B$1006,MATCH(50,'Rent Ledger'!$N$7:$N$1006,0)),"")</f>
        <v/>
      </c>
      <c r="C65" s="18">
        <f>IFERROR(INDEX('Rent Ledger'!$F$7:$F$1006,MATCH(50,'Rent Ledger'!$N$7:$N$1006,0))&amp;"","")</f>
        <v/>
      </c>
      <c r="D65" s="18">
        <f>IFERROR(INDEX('Rent Ledger'!$G$7:$G$1006,MATCH(50,'Rent Ledger'!$N$7:$N$1006,0))&amp;"","")</f>
        <v/>
      </c>
      <c r="E65" s="18">
        <f>IFERROR(INDEX('Rent Ledger'!$H$7:$H$1006,MATCH(50,'Rent Ledger'!$N$7:$N$1006,0))&amp;"","")</f>
        <v/>
      </c>
      <c r="F65" s="18">
        <f>IFERROR(INDEX('Rent Ledger'!$I$7:$I$1006,MATCH(50,'Rent Ledger'!$N$7:$N$1006,0))&amp;"","")</f>
        <v/>
      </c>
      <c r="G65" s="37">
        <f>IFERROR(N(INDEX('Rent Ledger'!$J$7:$J$1006,MATCH(50,'Rent Ledger'!$N$7:$N$1006,0))),"")</f>
        <v/>
      </c>
      <c r="H65" s="37">
        <f>IFERROR(N(INDEX('Rent Ledger'!$K$7:$K$1006,MATCH(50,'Rent Ledger'!$N$7:$N$1006,0))),"")</f>
        <v/>
      </c>
      <c r="I65" s="43">
        <f>IF(B65="","",SUM($G$16:G65)-SUM($H$16:H65))</f>
        <v/>
      </c>
    </row>
    <row r="66">
      <c r="B66" s="41">
        <f>IFERROR(INDEX('Rent Ledger'!$B$7:$B$1006,MATCH(51,'Rent Ledger'!$N$7:$N$1006,0)),"")</f>
        <v/>
      </c>
      <c r="C66" s="18">
        <f>IFERROR(INDEX('Rent Ledger'!$F$7:$F$1006,MATCH(51,'Rent Ledger'!$N$7:$N$1006,0))&amp;"","")</f>
        <v/>
      </c>
      <c r="D66" s="18">
        <f>IFERROR(INDEX('Rent Ledger'!$G$7:$G$1006,MATCH(51,'Rent Ledger'!$N$7:$N$1006,0))&amp;"","")</f>
        <v/>
      </c>
      <c r="E66" s="18">
        <f>IFERROR(INDEX('Rent Ledger'!$H$7:$H$1006,MATCH(51,'Rent Ledger'!$N$7:$N$1006,0))&amp;"","")</f>
        <v/>
      </c>
      <c r="F66" s="18">
        <f>IFERROR(INDEX('Rent Ledger'!$I$7:$I$1006,MATCH(51,'Rent Ledger'!$N$7:$N$1006,0))&amp;"","")</f>
        <v/>
      </c>
      <c r="G66" s="37">
        <f>IFERROR(N(INDEX('Rent Ledger'!$J$7:$J$1006,MATCH(51,'Rent Ledger'!$N$7:$N$1006,0))),"")</f>
        <v/>
      </c>
      <c r="H66" s="37">
        <f>IFERROR(N(INDEX('Rent Ledger'!$K$7:$K$1006,MATCH(51,'Rent Ledger'!$N$7:$N$1006,0))),"")</f>
        <v/>
      </c>
      <c r="I66" s="43">
        <f>IF(B66="","",SUM($G$16:G66)-SUM($H$16:H66))</f>
        <v/>
      </c>
    </row>
    <row r="67">
      <c r="B67" s="41">
        <f>IFERROR(INDEX('Rent Ledger'!$B$7:$B$1006,MATCH(52,'Rent Ledger'!$N$7:$N$1006,0)),"")</f>
        <v/>
      </c>
      <c r="C67" s="18">
        <f>IFERROR(INDEX('Rent Ledger'!$F$7:$F$1006,MATCH(52,'Rent Ledger'!$N$7:$N$1006,0))&amp;"","")</f>
        <v/>
      </c>
      <c r="D67" s="18">
        <f>IFERROR(INDEX('Rent Ledger'!$G$7:$G$1006,MATCH(52,'Rent Ledger'!$N$7:$N$1006,0))&amp;"","")</f>
        <v/>
      </c>
      <c r="E67" s="18">
        <f>IFERROR(INDEX('Rent Ledger'!$H$7:$H$1006,MATCH(52,'Rent Ledger'!$N$7:$N$1006,0))&amp;"","")</f>
        <v/>
      </c>
      <c r="F67" s="18">
        <f>IFERROR(INDEX('Rent Ledger'!$I$7:$I$1006,MATCH(52,'Rent Ledger'!$N$7:$N$1006,0))&amp;"","")</f>
        <v/>
      </c>
      <c r="G67" s="37">
        <f>IFERROR(N(INDEX('Rent Ledger'!$J$7:$J$1006,MATCH(52,'Rent Ledger'!$N$7:$N$1006,0))),"")</f>
        <v/>
      </c>
      <c r="H67" s="37">
        <f>IFERROR(N(INDEX('Rent Ledger'!$K$7:$K$1006,MATCH(52,'Rent Ledger'!$N$7:$N$1006,0))),"")</f>
        <v/>
      </c>
      <c r="I67" s="43">
        <f>IF(B67="","",SUM($G$16:G67)-SUM($H$16:H67))</f>
        <v/>
      </c>
    </row>
    <row r="68">
      <c r="B68" s="41">
        <f>IFERROR(INDEX('Rent Ledger'!$B$7:$B$1006,MATCH(53,'Rent Ledger'!$N$7:$N$1006,0)),"")</f>
        <v/>
      </c>
      <c r="C68" s="18">
        <f>IFERROR(INDEX('Rent Ledger'!$F$7:$F$1006,MATCH(53,'Rent Ledger'!$N$7:$N$1006,0))&amp;"","")</f>
        <v/>
      </c>
      <c r="D68" s="18">
        <f>IFERROR(INDEX('Rent Ledger'!$G$7:$G$1006,MATCH(53,'Rent Ledger'!$N$7:$N$1006,0))&amp;"","")</f>
        <v/>
      </c>
      <c r="E68" s="18">
        <f>IFERROR(INDEX('Rent Ledger'!$H$7:$H$1006,MATCH(53,'Rent Ledger'!$N$7:$N$1006,0))&amp;"","")</f>
        <v/>
      </c>
      <c r="F68" s="18">
        <f>IFERROR(INDEX('Rent Ledger'!$I$7:$I$1006,MATCH(53,'Rent Ledger'!$N$7:$N$1006,0))&amp;"","")</f>
        <v/>
      </c>
      <c r="G68" s="37">
        <f>IFERROR(N(INDEX('Rent Ledger'!$J$7:$J$1006,MATCH(53,'Rent Ledger'!$N$7:$N$1006,0))),"")</f>
        <v/>
      </c>
      <c r="H68" s="37">
        <f>IFERROR(N(INDEX('Rent Ledger'!$K$7:$K$1006,MATCH(53,'Rent Ledger'!$N$7:$N$1006,0))),"")</f>
        <v/>
      </c>
      <c r="I68" s="43">
        <f>IF(B68="","",SUM($G$16:G68)-SUM($H$16:H68))</f>
        <v/>
      </c>
    </row>
    <row r="69">
      <c r="B69" s="41">
        <f>IFERROR(INDEX('Rent Ledger'!$B$7:$B$1006,MATCH(54,'Rent Ledger'!$N$7:$N$1006,0)),"")</f>
        <v/>
      </c>
      <c r="C69" s="18">
        <f>IFERROR(INDEX('Rent Ledger'!$F$7:$F$1006,MATCH(54,'Rent Ledger'!$N$7:$N$1006,0))&amp;"","")</f>
        <v/>
      </c>
      <c r="D69" s="18">
        <f>IFERROR(INDEX('Rent Ledger'!$G$7:$G$1006,MATCH(54,'Rent Ledger'!$N$7:$N$1006,0))&amp;"","")</f>
        <v/>
      </c>
      <c r="E69" s="18">
        <f>IFERROR(INDEX('Rent Ledger'!$H$7:$H$1006,MATCH(54,'Rent Ledger'!$N$7:$N$1006,0))&amp;"","")</f>
        <v/>
      </c>
      <c r="F69" s="18">
        <f>IFERROR(INDEX('Rent Ledger'!$I$7:$I$1006,MATCH(54,'Rent Ledger'!$N$7:$N$1006,0))&amp;"","")</f>
        <v/>
      </c>
      <c r="G69" s="37">
        <f>IFERROR(N(INDEX('Rent Ledger'!$J$7:$J$1006,MATCH(54,'Rent Ledger'!$N$7:$N$1006,0))),"")</f>
        <v/>
      </c>
      <c r="H69" s="37">
        <f>IFERROR(N(INDEX('Rent Ledger'!$K$7:$K$1006,MATCH(54,'Rent Ledger'!$N$7:$N$1006,0))),"")</f>
        <v/>
      </c>
      <c r="I69" s="43">
        <f>IF(B69="","",SUM($G$16:G69)-SUM($H$16:H69))</f>
        <v/>
      </c>
    </row>
    <row r="70">
      <c r="B70" s="41">
        <f>IFERROR(INDEX('Rent Ledger'!$B$7:$B$1006,MATCH(55,'Rent Ledger'!$N$7:$N$1006,0)),"")</f>
        <v/>
      </c>
      <c r="C70" s="18">
        <f>IFERROR(INDEX('Rent Ledger'!$F$7:$F$1006,MATCH(55,'Rent Ledger'!$N$7:$N$1006,0))&amp;"","")</f>
        <v/>
      </c>
      <c r="D70" s="18">
        <f>IFERROR(INDEX('Rent Ledger'!$G$7:$G$1006,MATCH(55,'Rent Ledger'!$N$7:$N$1006,0))&amp;"","")</f>
        <v/>
      </c>
      <c r="E70" s="18">
        <f>IFERROR(INDEX('Rent Ledger'!$H$7:$H$1006,MATCH(55,'Rent Ledger'!$N$7:$N$1006,0))&amp;"","")</f>
        <v/>
      </c>
      <c r="F70" s="18">
        <f>IFERROR(INDEX('Rent Ledger'!$I$7:$I$1006,MATCH(55,'Rent Ledger'!$N$7:$N$1006,0))&amp;"","")</f>
        <v/>
      </c>
      <c r="G70" s="37">
        <f>IFERROR(N(INDEX('Rent Ledger'!$J$7:$J$1006,MATCH(55,'Rent Ledger'!$N$7:$N$1006,0))),"")</f>
        <v/>
      </c>
      <c r="H70" s="37">
        <f>IFERROR(N(INDEX('Rent Ledger'!$K$7:$K$1006,MATCH(55,'Rent Ledger'!$N$7:$N$1006,0))),"")</f>
        <v/>
      </c>
      <c r="I70" s="43">
        <f>IF(B70="","",SUM($G$16:G70)-SUM($H$16:H70))</f>
        <v/>
      </c>
    </row>
    <row r="71">
      <c r="B71" s="41">
        <f>IFERROR(INDEX('Rent Ledger'!$B$7:$B$1006,MATCH(56,'Rent Ledger'!$N$7:$N$1006,0)),"")</f>
        <v/>
      </c>
      <c r="C71" s="18">
        <f>IFERROR(INDEX('Rent Ledger'!$F$7:$F$1006,MATCH(56,'Rent Ledger'!$N$7:$N$1006,0))&amp;"","")</f>
        <v/>
      </c>
      <c r="D71" s="18">
        <f>IFERROR(INDEX('Rent Ledger'!$G$7:$G$1006,MATCH(56,'Rent Ledger'!$N$7:$N$1006,0))&amp;"","")</f>
        <v/>
      </c>
      <c r="E71" s="18">
        <f>IFERROR(INDEX('Rent Ledger'!$H$7:$H$1006,MATCH(56,'Rent Ledger'!$N$7:$N$1006,0))&amp;"","")</f>
        <v/>
      </c>
      <c r="F71" s="18">
        <f>IFERROR(INDEX('Rent Ledger'!$I$7:$I$1006,MATCH(56,'Rent Ledger'!$N$7:$N$1006,0))&amp;"","")</f>
        <v/>
      </c>
      <c r="G71" s="37">
        <f>IFERROR(N(INDEX('Rent Ledger'!$J$7:$J$1006,MATCH(56,'Rent Ledger'!$N$7:$N$1006,0))),"")</f>
        <v/>
      </c>
      <c r="H71" s="37">
        <f>IFERROR(N(INDEX('Rent Ledger'!$K$7:$K$1006,MATCH(56,'Rent Ledger'!$N$7:$N$1006,0))),"")</f>
        <v/>
      </c>
      <c r="I71" s="43">
        <f>IF(B71="","",SUM($G$16:G71)-SUM($H$16:H71))</f>
        <v/>
      </c>
    </row>
    <row r="72">
      <c r="B72" s="41">
        <f>IFERROR(INDEX('Rent Ledger'!$B$7:$B$1006,MATCH(57,'Rent Ledger'!$N$7:$N$1006,0)),"")</f>
        <v/>
      </c>
      <c r="C72" s="18">
        <f>IFERROR(INDEX('Rent Ledger'!$F$7:$F$1006,MATCH(57,'Rent Ledger'!$N$7:$N$1006,0))&amp;"","")</f>
        <v/>
      </c>
      <c r="D72" s="18">
        <f>IFERROR(INDEX('Rent Ledger'!$G$7:$G$1006,MATCH(57,'Rent Ledger'!$N$7:$N$1006,0))&amp;"","")</f>
        <v/>
      </c>
      <c r="E72" s="18">
        <f>IFERROR(INDEX('Rent Ledger'!$H$7:$H$1006,MATCH(57,'Rent Ledger'!$N$7:$N$1006,0))&amp;"","")</f>
        <v/>
      </c>
      <c r="F72" s="18">
        <f>IFERROR(INDEX('Rent Ledger'!$I$7:$I$1006,MATCH(57,'Rent Ledger'!$N$7:$N$1006,0))&amp;"","")</f>
        <v/>
      </c>
      <c r="G72" s="37">
        <f>IFERROR(N(INDEX('Rent Ledger'!$J$7:$J$1006,MATCH(57,'Rent Ledger'!$N$7:$N$1006,0))),"")</f>
        <v/>
      </c>
      <c r="H72" s="37">
        <f>IFERROR(N(INDEX('Rent Ledger'!$K$7:$K$1006,MATCH(57,'Rent Ledger'!$N$7:$N$1006,0))),"")</f>
        <v/>
      </c>
      <c r="I72" s="43">
        <f>IF(B72="","",SUM($G$16:G72)-SUM($H$16:H72))</f>
        <v/>
      </c>
    </row>
    <row r="73">
      <c r="B73" s="41">
        <f>IFERROR(INDEX('Rent Ledger'!$B$7:$B$1006,MATCH(58,'Rent Ledger'!$N$7:$N$1006,0)),"")</f>
        <v/>
      </c>
      <c r="C73" s="18">
        <f>IFERROR(INDEX('Rent Ledger'!$F$7:$F$1006,MATCH(58,'Rent Ledger'!$N$7:$N$1006,0))&amp;"","")</f>
        <v/>
      </c>
      <c r="D73" s="18">
        <f>IFERROR(INDEX('Rent Ledger'!$G$7:$G$1006,MATCH(58,'Rent Ledger'!$N$7:$N$1006,0))&amp;"","")</f>
        <v/>
      </c>
      <c r="E73" s="18">
        <f>IFERROR(INDEX('Rent Ledger'!$H$7:$H$1006,MATCH(58,'Rent Ledger'!$N$7:$N$1006,0))&amp;"","")</f>
        <v/>
      </c>
      <c r="F73" s="18">
        <f>IFERROR(INDEX('Rent Ledger'!$I$7:$I$1006,MATCH(58,'Rent Ledger'!$N$7:$N$1006,0))&amp;"","")</f>
        <v/>
      </c>
      <c r="G73" s="37">
        <f>IFERROR(N(INDEX('Rent Ledger'!$J$7:$J$1006,MATCH(58,'Rent Ledger'!$N$7:$N$1006,0))),"")</f>
        <v/>
      </c>
      <c r="H73" s="37">
        <f>IFERROR(N(INDEX('Rent Ledger'!$K$7:$K$1006,MATCH(58,'Rent Ledger'!$N$7:$N$1006,0))),"")</f>
        <v/>
      </c>
      <c r="I73" s="43">
        <f>IF(B73="","",SUM($G$16:G73)-SUM($H$16:H73))</f>
        <v/>
      </c>
    </row>
    <row r="74">
      <c r="B74" s="41">
        <f>IFERROR(INDEX('Rent Ledger'!$B$7:$B$1006,MATCH(59,'Rent Ledger'!$N$7:$N$1006,0)),"")</f>
        <v/>
      </c>
      <c r="C74" s="18">
        <f>IFERROR(INDEX('Rent Ledger'!$F$7:$F$1006,MATCH(59,'Rent Ledger'!$N$7:$N$1006,0))&amp;"","")</f>
        <v/>
      </c>
      <c r="D74" s="18">
        <f>IFERROR(INDEX('Rent Ledger'!$G$7:$G$1006,MATCH(59,'Rent Ledger'!$N$7:$N$1006,0))&amp;"","")</f>
        <v/>
      </c>
      <c r="E74" s="18">
        <f>IFERROR(INDEX('Rent Ledger'!$H$7:$H$1006,MATCH(59,'Rent Ledger'!$N$7:$N$1006,0))&amp;"","")</f>
        <v/>
      </c>
      <c r="F74" s="18">
        <f>IFERROR(INDEX('Rent Ledger'!$I$7:$I$1006,MATCH(59,'Rent Ledger'!$N$7:$N$1006,0))&amp;"","")</f>
        <v/>
      </c>
      <c r="G74" s="37">
        <f>IFERROR(N(INDEX('Rent Ledger'!$J$7:$J$1006,MATCH(59,'Rent Ledger'!$N$7:$N$1006,0))),"")</f>
        <v/>
      </c>
      <c r="H74" s="37">
        <f>IFERROR(N(INDEX('Rent Ledger'!$K$7:$K$1006,MATCH(59,'Rent Ledger'!$N$7:$N$1006,0))),"")</f>
        <v/>
      </c>
      <c r="I74" s="43">
        <f>IF(B74="","",SUM($G$16:G74)-SUM($H$16:H74))</f>
        <v/>
      </c>
    </row>
    <row r="75">
      <c r="B75" s="41">
        <f>IFERROR(INDEX('Rent Ledger'!$B$7:$B$1006,MATCH(60,'Rent Ledger'!$N$7:$N$1006,0)),"")</f>
        <v/>
      </c>
      <c r="C75" s="18">
        <f>IFERROR(INDEX('Rent Ledger'!$F$7:$F$1006,MATCH(60,'Rent Ledger'!$N$7:$N$1006,0))&amp;"","")</f>
        <v/>
      </c>
      <c r="D75" s="18">
        <f>IFERROR(INDEX('Rent Ledger'!$G$7:$G$1006,MATCH(60,'Rent Ledger'!$N$7:$N$1006,0))&amp;"","")</f>
        <v/>
      </c>
      <c r="E75" s="18">
        <f>IFERROR(INDEX('Rent Ledger'!$H$7:$H$1006,MATCH(60,'Rent Ledger'!$N$7:$N$1006,0))&amp;"","")</f>
        <v/>
      </c>
      <c r="F75" s="18">
        <f>IFERROR(INDEX('Rent Ledger'!$I$7:$I$1006,MATCH(60,'Rent Ledger'!$N$7:$N$1006,0))&amp;"","")</f>
        <v/>
      </c>
      <c r="G75" s="37">
        <f>IFERROR(N(INDEX('Rent Ledger'!$J$7:$J$1006,MATCH(60,'Rent Ledger'!$N$7:$N$1006,0))),"")</f>
        <v/>
      </c>
      <c r="H75" s="37">
        <f>IFERROR(N(INDEX('Rent Ledger'!$K$7:$K$1006,MATCH(60,'Rent Ledger'!$N$7:$N$1006,0))),"")</f>
        <v/>
      </c>
      <c r="I75" s="43">
        <f>IF(B75="","",SUM($G$16:G75)-SUM($H$16:H75))</f>
        <v/>
      </c>
    </row>
    <row r="76">
      <c r="B76" s="41">
        <f>IFERROR(INDEX('Rent Ledger'!$B$7:$B$1006,MATCH(61,'Rent Ledger'!$N$7:$N$1006,0)),"")</f>
        <v/>
      </c>
      <c r="C76" s="18">
        <f>IFERROR(INDEX('Rent Ledger'!$F$7:$F$1006,MATCH(61,'Rent Ledger'!$N$7:$N$1006,0))&amp;"","")</f>
        <v/>
      </c>
      <c r="D76" s="18">
        <f>IFERROR(INDEX('Rent Ledger'!$G$7:$G$1006,MATCH(61,'Rent Ledger'!$N$7:$N$1006,0))&amp;"","")</f>
        <v/>
      </c>
      <c r="E76" s="18">
        <f>IFERROR(INDEX('Rent Ledger'!$H$7:$H$1006,MATCH(61,'Rent Ledger'!$N$7:$N$1006,0))&amp;"","")</f>
        <v/>
      </c>
      <c r="F76" s="18">
        <f>IFERROR(INDEX('Rent Ledger'!$I$7:$I$1006,MATCH(61,'Rent Ledger'!$N$7:$N$1006,0))&amp;"","")</f>
        <v/>
      </c>
      <c r="G76" s="37">
        <f>IFERROR(N(INDEX('Rent Ledger'!$J$7:$J$1006,MATCH(61,'Rent Ledger'!$N$7:$N$1006,0))),"")</f>
        <v/>
      </c>
      <c r="H76" s="37">
        <f>IFERROR(N(INDEX('Rent Ledger'!$K$7:$K$1006,MATCH(61,'Rent Ledger'!$N$7:$N$1006,0))),"")</f>
        <v/>
      </c>
      <c r="I76" s="43">
        <f>IF(B76="","",SUM($G$16:G76)-SUM($H$16:H76))</f>
        <v/>
      </c>
    </row>
    <row r="77">
      <c r="B77" s="41">
        <f>IFERROR(INDEX('Rent Ledger'!$B$7:$B$1006,MATCH(62,'Rent Ledger'!$N$7:$N$1006,0)),"")</f>
        <v/>
      </c>
      <c r="C77" s="18">
        <f>IFERROR(INDEX('Rent Ledger'!$F$7:$F$1006,MATCH(62,'Rent Ledger'!$N$7:$N$1006,0))&amp;"","")</f>
        <v/>
      </c>
      <c r="D77" s="18">
        <f>IFERROR(INDEX('Rent Ledger'!$G$7:$G$1006,MATCH(62,'Rent Ledger'!$N$7:$N$1006,0))&amp;"","")</f>
        <v/>
      </c>
      <c r="E77" s="18">
        <f>IFERROR(INDEX('Rent Ledger'!$H$7:$H$1006,MATCH(62,'Rent Ledger'!$N$7:$N$1006,0))&amp;"","")</f>
        <v/>
      </c>
      <c r="F77" s="18">
        <f>IFERROR(INDEX('Rent Ledger'!$I$7:$I$1006,MATCH(62,'Rent Ledger'!$N$7:$N$1006,0))&amp;"","")</f>
        <v/>
      </c>
      <c r="G77" s="37">
        <f>IFERROR(N(INDEX('Rent Ledger'!$J$7:$J$1006,MATCH(62,'Rent Ledger'!$N$7:$N$1006,0))),"")</f>
        <v/>
      </c>
      <c r="H77" s="37">
        <f>IFERROR(N(INDEX('Rent Ledger'!$K$7:$K$1006,MATCH(62,'Rent Ledger'!$N$7:$N$1006,0))),"")</f>
        <v/>
      </c>
      <c r="I77" s="43">
        <f>IF(B77="","",SUM($G$16:G77)-SUM($H$16:H77))</f>
        <v/>
      </c>
    </row>
    <row r="78">
      <c r="B78" s="41">
        <f>IFERROR(INDEX('Rent Ledger'!$B$7:$B$1006,MATCH(63,'Rent Ledger'!$N$7:$N$1006,0)),"")</f>
        <v/>
      </c>
      <c r="C78" s="18">
        <f>IFERROR(INDEX('Rent Ledger'!$F$7:$F$1006,MATCH(63,'Rent Ledger'!$N$7:$N$1006,0))&amp;"","")</f>
        <v/>
      </c>
      <c r="D78" s="18">
        <f>IFERROR(INDEX('Rent Ledger'!$G$7:$G$1006,MATCH(63,'Rent Ledger'!$N$7:$N$1006,0))&amp;"","")</f>
        <v/>
      </c>
      <c r="E78" s="18">
        <f>IFERROR(INDEX('Rent Ledger'!$H$7:$H$1006,MATCH(63,'Rent Ledger'!$N$7:$N$1006,0))&amp;"","")</f>
        <v/>
      </c>
      <c r="F78" s="18">
        <f>IFERROR(INDEX('Rent Ledger'!$I$7:$I$1006,MATCH(63,'Rent Ledger'!$N$7:$N$1006,0))&amp;"","")</f>
        <v/>
      </c>
      <c r="G78" s="37">
        <f>IFERROR(N(INDEX('Rent Ledger'!$J$7:$J$1006,MATCH(63,'Rent Ledger'!$N$7:$N$1006,0))),"")</f>
        <v/>
      </c>
      <c r="H78" s="37">
        <f>IFERROR(N(INDEX('Rent Ledger'!$K$7:$K$1006,MATCH(63,'Rent Ledger'!$N$7:$N$1006,0))),"")</f>
        <v/>
      </c>
      <c r="I78" s="43">
        <f>IF(B78="","",SUM($G$16:G78)-SUM($H$16:H78))</f>
        <v/>
      </c>
    </row>
    <row r="79">
      <c r="B79" s="41">
        <f>IFERROR(INDEX('Rent Ledger'!$B$7:$B$1006,MATCH(64,'Rent Ledger'!$N$7:$N$1006,0)),"")</f>
        <v/>
      </c>
      <c r="C79" s="18">
        <f>IFERROR(INDEX('Rent Ledger'!$F$7:$F$1006,MATCH(64,'Rent Ledger'!$N$7:$N$1006,0))&amp;"","")</f>
        <v/>
      </c>
      <c r="D79" s="18">
        <f>IFERROR(INDEX('Rent Ledger'!$G$7:$G$1006,MATCH(64,'Rent Ledger'!$N$7:$N$1006,0))&amp;"","")</f>
        <v/>
      </c>
      <c r="E79" s="18">
        <f>IFERROR(INDEX('Rent Ledger'!$H$7:$H$1006,MATCH(64,'Rent Ledger'!$N$7:$N$1006,0))&amp;"","")</f>
        <v/>
      </c>
      <c r="F79" s="18">
        <f>IFERROR(INDEX('Rent Ledger'!$I$7:$I$1006,MATCH(64,'Rent Ledger'!$N$7:$N$1006,0))&amp;"","")</f>
        <v/>
      </c>
      <c r="G79" s="37">
        <f>IFERROR(N(INDEX('Rent Ledger'!$J$7:$J$1006,MATCH(64,'Rent Ledger'!$N$7:$N$1006,0))),"")</f>
        <v/>
      </c>
      <c r="H79" s="37">
        <f>IFERROR(N(INDEX('Rent Ledger'!$K$7:$K$1006,MATCH(64,'Rent Ledger'!$N$7:$N$1006,0))),"")</f>
        <v/>
      </c>
      <c r="I79" s="43">
        <f>IF(B79="","",SUM($G$16:G79)-SUM($H$16:H79))</f>
        <v/>
      </c>
    </row>
    <row r="80">
      <c r="B80" s="41">
        <f>IFERROR(INDEX('Rent Ledger'!$B$7:$B$1006,MATCH(65,'Rent Ledger'!$N$7:$N$1006,0)),"")</f>
        <v/>
      </c>
      <c r="C80" s="18">
        <f>IFERROR(INDEX('Rent Ledger'!$F$7:$F$1006,MATCH(65,'Rent Ledger'!$N$7:$N$1006,0))&amp;"","")</f>
        <v/>
      </c>
      <c r="D80" s="18">
        <f>IFERROR(INDEX('Rent Ledger'!$G$7:$G$1006,MATCH(65,'Rent Ledger'!$N$7:$N$1006,0))&amp;"","")</f>
        <v/>
      </c>
      <c r="E80" s="18">
        <f>IFERROR(INDEX('Rent Ledger'!$H$7:$H$1006,MATCH(65,'Rent Ledger'!$N$7:$N$1006,0))&amp;"","")</f>
        <v/>
      </c>
      <c r="F80" s="18">
        <f>IFERROR(INDEX('Rent Ledger'!$I$7:$I$1006,MATCH(65,'Rent Ledger'!$N$7:$N$1006,0))&amp;"","")</f>
        <v/>
      </c>
      <c r="G80" s="37">
        <f>IFERROR(N(INDEX('Rent Ledger'!$J$7:$J$1006,MATCH(65,'Rent Ledger'!$N$7:$N$1006,0))),"")</f>
        <v/>
      </c>
      <c r="H80" s="37">
        <f>IFERROR(N(INDEX('Rent Ledger'!$K$7:$K$1006,MATCH(65,'Rent Ledger'!$N$7:$N$1006,0))),"")</f>
        <v/>
      </c>
      <c r="I80" s="43">
        <f>IF(B80="","",SUM($G$16:G80)-SUM($H$16:H80))</f>
        <v/>
      </c>
    </row>
    <row r="81">
      <c r="B81" s="41">
        <f>IFERROR(INDEX('Rent Ledger'!$B$7:$B$1006,MATCH(66,'Rent Ledger'!$N$7:$N$1006,0)),"")</f>
        <v/>
      </c>
      <c r="C81" s="18">
        <f>IFERROR(INDEX('Rent Ledger'!$F$7:$F$1006,MATCH(66,'Rent Ledger'!$N$7:$N$1006,0))&amp;"","")</f>
        <v/>
      </c>
      <c r="D81" s="18">
        <f>IFERROR(INDEX('Rent Ledger'!$G$7:$G$1006,MATCH(66,'Rent Ledger'!$N$7:$N$1006,0))&amp;"","")</f>
        <v/>
      </c>
      <c r="E81" s="18">
        <f>IFERROR(INDEX('Rent Ledger'!$H$7:$H$1006,MATCH(66,'Rent Ledger'!$N$7:$N$1006,0))&amp;"","")</f>
        <v/>
      </c>
      <c r="F81" s="18">
        <f>IFERROR(INDEX('Rent Ledger'!$I$7:$I$1006,MATCH(66,'Rent Ledger'!$N$7:$N$1006,0))&amp;"","")</f>
        <v/>
      </c>
      <c r="G81" s="37">
        <f>IFERROR(N(INDEX('Rent Ledger'!$J$7:$J$1006,MATCH(66,'Rent Ledger'!$N$7:$N$1006,0))),"")</f>
        <v/>
      </c>
      <c r="H81" s="37">
        <f>IFERROR(N(INDEX('Rent Ledger'!$K$7:$K$1006,MATCH(66,'Rent Ledger'!$N$7:$N$1006,0))),"")</f>
        <v/>
      </c>
      <c r="I81" s="43">
        <f>IF(B81="","",SUM($G$16:G81)-SUM($H$16:H81))</f>
        <v/>
      </c>
    </row>
    <row r="82">
      <c r="B82" s="41">
        <f>IFERROR(INDEX('Rent Ledger'!$B$7:$B$1006,MATCH(67,'Rent Ledger'!$N$7:$N$1006,0)),"")</f>
        <v/>
      </c>
      <c r="C82" s="18">
        <f>IFERROR(INDEX('Rent Ledger'!$F$7:$F$1006,MATCH(67,'Rent Ledger'!$N$7:$N$1006,0))&amp;"","")</f>
        <v/>
      </c>
      <c r="D82" s="18">
        <f>IFERROR(INDEX('Rent Ledger'!$G$7:$G$1006,MATCH(67,'Rent Ledger'!$N$7:$N$1006,0))&amp;"","")</f>
        <v/>
      </c>
      <c r="E82" s="18">
        <f>IFERROR(INDEX('Rent Ledger'!$H$7:$H$1006,MATCH(67,'Rent Ledger'!$N$7:$N$1006,0))&amp;"","")</f>
        <v/>
      </c>
      <c r="F82" s="18">
        <f>IFERROR(INDEX('Rent Ledger'!$I$7:$I$1006,MATCH(67,'Rent Ledger'!$N$7:$N$1006,0))&amp;"","")</f>
        <v/>
      </c>
      <c r="G82" s="37">
        <f>IFERROR(N(INDEX('Rent Ledger'!$J$7:$J$1006,MATCH(67,'Rent Ledger'!$N$7:$N$1006,0))),"")</f>
        <v/>
      </c>
      <c r="H82" s="37">
        <f>IFERROR(N(INDEX('Rent Ledger'!$K$7:$K$1006,MATCH(67,'Rent Ledger'!$N$7:$N$1006,0))),"")</f>
        <v/>
      </c>
      <c r="I82" s="43">
        <f>IF(B82="","",SUM($G$16:G82)-SUM($H$16:H82))</f>
        <v/>
      </c>
    </row>
    <row r="83">
      <c r="B83" s="41">
        <f>IFERROR(INDEX('Rent Ledger'!$B$7:$B$1006,MATCH(68,'Rent Ledger'!$N$7:$N$1006,0)),"")</f>
        <v/>
      </c>
      <c r="C83" s="18">
        <f>IFERROR(INDEX('Rent Ledger'!$F$7:$F$1006,MATCH(68,'Rent Ledger'!$N$7:$N$1006,0))&amp;"","")</f>
        <v/>
      </c>
      <c r="D83" s="18">
        <f>IFERROR(INDEX('Rent Ledger'!$G$7:$G$1006,MATCH(68,'Rent Ledger'!$N$7:$N$1006,0))&amp;"","")</f>
        <v/>
      </c>
      <c r="E83" s="18">
        <f>IFERROR(INDEX('Rent Ledger'!$H$7:$H$1006,MATCH(68,'Rent Ledger'!$N$7:$N$1006,0))&amp;"","")</f>
        <v/>
      </c>
      <c r="F83" s="18">
        <f>IFERROR(INDEX('Rent Ledger'!$I$7:$I$1006,MATCH(68,'Rent Ledger'!$N$7:$N$1006,0))&amp;"","")</f>
        <v/>
      </c>
      <c r="G83" s="37">
        <f>IFERROR(N(INDEX('Rent Ledger'!$J$7:$J$1006,MATCH(68,'Rent Ledger'!$N$7:$N$1006,0))),"")</f>
        <v/>
      </c>
      <c r="H83" s="37">
        <f>IFERROR(N(INDEX('Rent Ledger'!$K$7:$K$1006,MATCH(68,'Rent Ledger'!$N$7:$N$1006,0))),"")</f>
        <v/>
      </c>
      <c r="I83" s="43">
        <f>IF(B83="","",SUM($G$16:G83)-SUM($H$16:H83))</f>
        <v/>
      </c>
    </row>
    <row r="84">
      <c r="B84" s="41">
        <f>IFERROR(INDEX('Rent Ledger'!$B$7:$B$1006,MATCH(69,'Rent Ledger'!$N$7:$N$1006,0)),"")</f>
        <v/>
      </c>
      <c r="C84" s="18">
        <f>IFERROR(INDEX('Rent Ledger'!$F$7:$F$1006,MATCH(69,'Rent Ledger'!$N$7:$N$1006,0))&amp;"","")</f>
        <v/>
      </c>
      <c r="D84" s="18">
        <f>IFERROR(INDEX('Rent Ledger'!$G$7:$G$1006,MATCH(69,'Rent Ledger'!$N$7:$N$1006,0))&amp;"","")</f>
        <v/>
      </c>
      <c r="E84" s="18">
        <f>IFERROR(INDEX('Rent Ledger'!$H$7:$H$1006,MATCH(69,'Rent Ledger'!$N$7:$N$1006,0))&amp;"","")</f>
        <v/>
      </c>
      <c r="F84" s="18">
        <f>IFERROR(INDEX('Rent Ledger'!$I$7:$I$1006,MATCH(69,'Rent Ledger'!$N$7:$N$1006,0))&amp;"","")</f>
        <v/>
      </c>
      <c r="G84" s="37">
        <f>IFERROR(N(INDEX('Rent Ledger'!$J$7:$J$1006,MATCH(69,'Rent Ledger'!$N$7:$N$1006,0))),"")</f>
        <v/>
      </c>
      <c r="H84" s="37">
        <f>IFERROR(N(INDEX('Rent Ledger'!$K$7:$K$1006,MATCH(69,'Rent Ledger'!$N$7:$N$1006,0))),"")</f>
        <v/>
      </c>
      <c r="I84" s="43">
        <f>IF(B84="","",SUM($G$16:G84)-SUM($H$16:H84))</f>
        <v/>
      </c>
    </row>
    <row r="85">
      <c r="B85" s="41">
        <f>IFERROR(INDEX('Rent Ledger'!$B$7:$B$1006,MATCH(70,'Rent Ledger'!$N$7:$N$1006,0)),"")</f>
        <v/>
      </c>
      <c r="C85" s="18">
        <f>IFERROR(INDEX('Rent Ledger'!$F$7:$F$1006,MATCH(70,'Rent Ledger'!$N$7:$N$1006,0))&amp;"","")</f>
        <v/>
      </c>
      <c r="D85" s="18">
        <f>IFERROR(INDEX('Rent Ledger'!$G$7:$G$1006,MATCH(70,'Rent Ledger'!$N$7:$N$1006,0))&amp;"","")</f>
        <v/>
      </c>
      <c r="E85" s="18">
        <f>IFERROR(INDEX('Rent Ledger'!$H$7:$H$1006,MATCH(70,'Rent Ledger'!$N$7:$N$1006,0))&amp;"","")</f>
        <v/>
      </c>
      <c r="F85" s="18">
        <f>IFERROR(INDEX('Rent Ledger'!$I$7:$I$1006,MATCH(70,'Rent Ledger'!$N$7:$N$1006,0))&amp;"","")</f>
        <v/>
      </c>
      <c r="G85" s="37">
        <f>IFERROR(N(INDEX('Rent Ledger'!$J$7:$J$1006,MATCH(70,'Rent Ledger'!$N$7:$N$1006,0))),"")</f>
        <v/>
      </c>
      <c r="H85" s="37">
        <f>IFERROR(N(INDEX('Rent Ledger'!$K$7:$K$1006,MATCH(70,'Rent Ledger'!$N$7:$N$1006,0))),"")</f>
        <v/>
      </c>
      <c r="I85" s="43">
        <f>IF(B85="","",SUM($G$16:G85)-SUM($H$16:H85))</f>
        <v/>
      </c>
    </row>
    <row r="86">
      <c r="B86" s="41">
        <f>IFERROR(INDEX('Rent Ledger'!$B$7:$B$1006,MATCH(71,'Rent Ledger'!$N$7:$N$1006,0)),"")</f>
        <v/>
      </c>
      <c r="C86" s="18">
        <f>IFERROR(INDEX('Rent Ledger'!$F$7:$F$1006,MATCH(71,'Rent Ledger'!$N$7:$N$1006,0))&amp;"","")</f>
        <v/>
      </c>
      <c r="D86" s="18">
        <f>IFERROR(INDEX('Rent Ledger'!$G$7:$G$1006,MATCH(71,'Rent Ledger'!$N$7:$N$1006,0))&amp;"","")</f>
        <v/>
      </c>
      <c r="E86" s="18">
        <f>IFERROR(INDEX('Rent Ledger'!$H$7:$H$1006,MATCH(71,'Rent Ledger'!$N$7:$N$1006,0))&amp;"","")</f>
        <v/>
      </c>
      <c r="F86" s="18">
        <f>IFERROR(INDEX('Rent Ledger'!$I$7:$I$1006,MATCH(71,'Rent Ledger'!$N$7:$N$1006,0))&amp;"","")</f>
        <v/>
      </c>
      <c r="G86" s="37">
        <f>IFERROR(N(INDEX('Rent Ledger'!$J$7:$J$1006,MATCH(71,'Rent Ledger'!$N$7:$N$1006,0))),"")</f>
        <v/>
      </c>
      <c r="H86" s="37">
        <f>IFERROR(N(INDEX('Rent Ledger'!$K$7:$K$1006,MATCH(71,'Rent Ledger'!$N$7:$N$1006,0))),"")</f>
        <v/>
      </c>
      <c r="I86" s="43">
        <f>IF(B86="","",SUM($G$16:G86)-SUM($H$16:H86))</f>
        <v/>
      </c>
    </row>
    <row r="87">
      <c r="B87" s="41">
        <f>IFERROR(INDEX('Rent Ledger'!$B$7:$B$1006,MATCH(72,'Rent Ledger'!$N$7:$N$1006,0)),"")</f>
        <v/>
      </c>
      <c r="C87" s="18">
        <f>IFERROR(INDEX('Rent Ledger'!$F$7:$F$1006,MATCH(72,'Rent Ledger'!$N$7:$N$1006,0))&amp;"","")</f>
        <v/>
      </c>
      <c r="D87" s="18">
        <f>IFERROR(INDEX('Rent Ledger'!$G$7:$G$1006,MATCH(72,'Rent Ledger'!$N$7:$N$1006,0))&amp;"","")</f>
        <v/>
      </c>
      <c r="E87" s="18">
        <f>IFERROR(INDEX('Rent Ledger'!$H$7:$H$1006,MATCH(72,'Rent Ledger'!$N$7:$N$1006,0))&amp;"","")</f>
        <v/>
      </c>
      <c r="F87" s="18">
        <f>IFERROR(INDEX('Rent Ledger'!$I$7:$I$1006,MATCH(72,'Rent Ledger'!$N$7:$N$1006,0))&amp;"","")</f>
        <v/>
      </c>
      <c r="G87" s="37">
        <f>IFERROR(N(INDEX('Rent Ledger'!$J$7:$J$1006,MATCH(72,'Rent Ledger'!$N$7:$N$1006,0))),"")</f>
        <v/>
      </c>
      <c r="H87" s="37">
        <f>IFERROR(N(INDEX('Rent Ledger'!$K$7:$K$1006,MATCH(72,'Rent Ledger'!$N$7:$N$1006,0))),"")</f>
        <v/>
      </c>
      <c r="I87" s="43">
        <f>IF(B87="","",SUM($G$16:G87)-SUM($H$16:H87))</f>
        <v/>
      </c>
    </row>
    <row r="88">
      <c r="B88" s="41">
        <f>IFERROR(INDEX('Rent Ledger'!$B$7:$B$1006,MATCH(73,'Rent Ledger'!$N$7:$N$1006,0)),"")</f>
        <v/>
      </c>
      <c r="C88" s="18">
        <f>IFERROR(INDEX('Rent Ledger'!$F$7:$F$1006,MATCH(73,'Rent Ledger'!$N$7:$N$1006,0))&amp;"","")</f>
        <v/>
      </c>
      <c r="D88" s="18">
        <f>IFERROR(INDEX('Rent Ledger'!$G$7:$G$1006,MATCH(73,'Rent Ledger'!$N$7:$N$1006,0))&amp;"","")</f>
        <v/>
      </c>
      <c r="E88" s="18">
        <f>IFERROR(INDEX('Rent Ledger'!$H$7:$H$1006,MATCH(73,'Rent Ledger'!$N$7:$N$1006,0))&amp;"","")</f>
        <v/>
      </c>
      <c r="F88" s="18">
        <f>IFERROR(INDEX('Rent Ledger'!$I$7:$I$1006,MATCH(73,'Rent Ledger'!$N$7:$N$1006,0))&amp;"","")</f>
        <v/>
      </c>
      <c r="G88" s="37">
        <f>IFERROR(N(INDEX('Rent Ledger'!$J$7:$J$1006,MATCH(73,'Rent Ledger'!$N$7:$N$1006,0))),"")</f>
        <v/>
      </c>
      <c r="H88" s="37">
        <f>IFERROR(N(INDEX('Rent Ledger'!$K$7:$K$1006,MATCH(73,'Rent Ledger'!$N$7:$N$1006,0))),"")</f>
        <v/>
      </c>
      <c r="I88" s="43">
        <f>IF(B88="","",SUM($G$16:G88)-SUM($H$16:H88))</f>
        <v/>
      </c>
    </row>
    <row r="89">
      <c r="B89" s="41">
        <f>IFERROR(INDEX('Rent Ledger'!$B$7:$B$1006,MATCH(74,'Rent Ledger'!$N$7:$N$1006,0)),"")</f>
        <v/>
      </c>
      <c r="C89" s="18">
        <f>IFERROR(INDEX('Rent Ledger'!$F$7:$F$1006,MATCH(74,'Rent Ledger'!$N$7:$N$1006,0))&amp;"","")</f>
        <v/>
      </c>
      <c r="D89" s="18">
        <f>IFERROR(INDEX('Rent Ledger'!$G$7:$G$1006,MATCH(74,'Rent Ledger'!$N$7:$N$1006,0))&amp;"","")</f>
        <v/>
      </c>
      <c r="E89" s="18">
        <f>IFERROR(INDEX('Rent Ledger'!$H$7:$H$1006,MATCH(74,'Rent Ledger'!$N$7:$N$1006,0))&amp;"","")</f>
        <v/>
      </c>
      <c r="F89" s="18">
        <f>IFERROR(INDEX('Rent Ledger'!$I$7:$I$1006,MATCH(74,'Rent Ledger'!$N$7:$N$1006,0))&amp;"","")</f>
        <v/>
      </c>
      <c r="G89" s="37">
        <f>IFERROR(N(INDEX('Rent Ledger'!$J$7:$J$1006,MATCH(74,'Rent Ledger'!$N$7:$N$1006,0))),"")</f>
        <v/>
      </c>
      <c r="H89" s="37">
        <f>IFERROR(N(INDEX('Rent Ledger'!$K$7:$K$1006,MATCH(74,'Rent Ledger'!$N$7:$N$1006,0))),"")</f>
        <v/>
      </c>
      <c r="I89" s="43">
        <f>IF(B89="","",SUM($G$16:G89)-SUM($H$16:H89))</f>
        <v/>
      </c>
    </row>
    <row r="90">
      <c r="B90" s="41">
        <f>IFERROR(INDEX('Rent Ledger'!$B$7:$B$1006,MATCH(75,'Rent Ledger'!$N$7:$N$1006,0)),"")</f>
        <v/>
      </c>
      <c r="C90" s="18">
        <f>IFERROR(INDEX('Rent Ledger'!$F$7:$F$1006,MATCH(75,'Rent Ledger'!$N$7:$N$1006,0))&amp;"","")</f>
        <v/>
      </c>
      <c r="D90" s="18">
        <f>IFERROR(INDEX('Rent Ledger'!$G$7:$G$1006,MATCH(75,'Rent Ledger'!$N$7:$N$1006,0))&amp;"","")</f>
        <v/>
      </c>
      <c r="E90" s="18">
        <f>IFERROR(INDEX('Rent Ledger'!$H$7:$H$1006,MATCH(75,'Rent Ledger'!$N$7:$N$1006,0))&amp;"","")</f>
        <v/>
      </c>
      <c r="F90" s="18">
        <f>IFERROR(INDEX('Rent Ledger'!$I$7:$I$1006,MATCH(75,'Rent Ledger'!$N$7:$N$1006,0))&amp;"","")</f>
        <v/>
      </c>
      <c r="G90" s="37">
        <f>IFERROR(N(INDEX('Rent Ledger'!$J$7:$J$1006,MATCH(75,'Rent Ledger'!$N$7:$N$1006,0))),"")</f>
        <v/>
      </c>
      <c r="H90" s="37">
        <f>IFERROR(N(INDEX('Rent Ledger'!$K$7:$K$1006,MATCH(75,'Rent Ledger'!$N$7:$N$1006,0))),"")</f>
        <v/>
      </c>
      <c r="I90" s="43">
        <f>IF(B90="","",SUM($G$16:G90)-SUM($H$16:H90))</f>
        <v/>
      </c>
    </row>
    <row r="91">
      <c r="B91" s="41">
        <f>IFERROR(INDEX('Rent Ledger'!$B$7:$B$1006,MATCH(76,'Rent Ledger'!$N$7:$N$1006,0)),"")</f>
        <v/>
      </c>
      <c r="C91" s="18">
        <f>IFERROR(INDEX('Rent Ledger'!$F$7:$F$1006,MATCH(76,'Rent Ledger'!$N$7:$N$1006,0))&amp;"","")</f>
        <v/>
      </c>
      <c r="D91" s="18">
        <f>IFERROR(INDEX('Rent Ledger'!$G$7:$G$1006,MATCH(76,'Rent Ledger'!$N$7:$N$1006,0))&amp;"","")</f>
        <v/>
      </c>
      <c r="E91" s="18">
        <f>IFERROR(INDEX('Rent Ledger'!$H$7:$H$1006,MATCH(76,'Rent Ledger'!$N$7:$N$1006,0))&amp;"","")</f>
        <v/>
      </c>
      <c r="F91" s="18">
        <f>IFERROR(INDEX('Rent Ledger'!$I$7:$I$1006,MATCH(76,'Rent Ledger'!$N$7:$N$1006,0))&amp;"","")</f>
        <v/>
      </c>
      <c r="G91" s="37">
        <f>IFERROR(N(INDEX('Rent Ledger'!$J$7:$J$1006,MATCH(76,'Rent Ledger'!$N$7:$N$1006,0))),"")</f>
        <v/>
      </c>
      <c r="H91" s="37">
        <f>IFERROR(N(INDEX('Rent Ledger'!$K$7:$K$1006,MATCH(76,'Rent Ledger'!$N$7:$N$1006,0))),"")</f>
        <v/>
      </c>
      <c r="I91" s="43">
        <f>IF(B91="","",SUM($G$16:G91)-SUM($H$16:H91))</f>
        <v/>
      </c>
    </row>
    <row r="92">
      <c r="B92" s="41">
        <f>IFERROR(INDEX('Rent Ledger'!$B$7:$B$1006,MATCH(77,'Rent Ledger'!$N$7:$N$1006,0)),"")</f>
        <v/>
      </c>
      <c r="C92" s="18">
        <f>IFERROR(INDEX('Rent Ledger'!$F$7:$F$1006,MATCH(77,'Rent Ledger'!$N$7:$N$1006,0))&amp;"","")</f>
        <v/>
      </c>
      <c r="D92" s="18">
        <f>IFERROR(INDEX('Rent Ledger'!$G$7:$G$1006,MATCH(77,'Rent Ledger'!$N$7:$N$1006,0))&amp;"","")</f>
        <v/>
      </c>
      <c r="E92" s="18">
        <f>IFERROR(INDEX('Rent Ledger'!$H$7:$H$1006,MATCH(77,'Rent Ledger'!$N$7:$N$1006,0))&amp;"","")</f>
        <v/>
      </c>
      <c r="F92" s="18">
        <f>IFERROR(INDEX('Rent Ledger'!$I$7:$I$1006,MATCH(77,'Rent Ledger'!$N$7:$N$1006,0))&amp;"","")</f>
        <v/>
      </c>
      <c r="G92" s="37">
        <f>IFERROR(N(INDEX('Rent Ledger'!$J$7:$J$1006,MATCH(77,'Rent Ledger'!$N$7:$N$1006,0))),"")</f>
        <v/>
      </c>
      <c r="H92" s="37">
        <f>IFERROR(N(INDEX('Rent Ledger'!$K$7:$K$1006,MATCH(77,'Rent Ledger'!$N$7:$N$1006,0))),"")</f>
        <v/>
      </c>
      <c r="I92" s="43">
        <f>IF(B92="","",SUM($G$16:G92)-SUM($H$16:H92))</f>
        <v/>
      </c>
    </row>
    <row r="93">
      <c r="B93" s="41">
        <f>IFERROR(INDEX('Rent Ledger'!$B$7:$B$1006,MATCH(78,'Rent Ledger'!$N$7:$N$1006,0)),"")</f>
        <v/>
      </c>
      <c r="C93" s="18">
        <f>IFERROR(INDEX('Rent Ledger'!$F$7:$F$1006,MATCH(78,'Rent Ledger'!$N$7:$N$1006,0))&amp;"","")</f>
        <v/>
      </c>
      <c r="D93" s="18">
        <f>IFERROR(INDEX('Rent Ledger'!$G$7:$G$1006,MATCH(78,'Rent Ledger'!$N$7:$N$1006,0))&amp;"","")</f>
        <v/>
      </c>
      <c r="E93" s="18">
        <f>IFERROR(INDEX('Rent Ledger'!$H$7:$H$1006,MATCH(78,'Rent Ledger'!$N$7:$N$1006,0))&amp;"","")</f>
        <v/>
      </c>
      <c r="F93" s="18">
        <f>IFERROR(INDEX('Rent Ledger'!$I$7:$I$1006,MATCH(78,'Rent Ledger'!$N$7:$N$1006,0))&amp;"","")</f>
        <v/>
      </c>
      <c r="G93" s="37">
        <f>IFERROR(N(INDEX('Rent Ledger'!$J$7:$J$1006,MATCH(78,'Rent Ledger'!$N$7:$N$1006,0))),"")</f>
        <v/>
      </c>
      <c r="H93" s="37">
        <f>IFERROR(N(INDEX('Rent Ledger'!$K$7:$K$1006,MATCH(78,'Rent Ledger'!$N$7:$N$1006,0))),"")</f>
        <v/>
      </c>
      <c r="I93" s="43">
        <f>IF(B93="","",SUM($G$16:G93)-SUM($H$16:H93))</f>
        <v/>
      </c>
    </row>
    <row r="94">
      <c r="B94" s="41">
        <f>IFERROR(INDEX('Rent Ledger'!$B$7:$B$1006,MATCH(79,'Rent Ledger'!$N$7:$N$1006,0)),"")</f>
        <v/>
      </c>
      <c r="C94" s="18">
        <f>IFERROR(INDEX('Rent Ledger'!$F$7:$F$1006,MATCH(79,'Rent Ledger'!$N$7:$N$1006,0))&amp;"","")</f>
        <v/>
      </c>
      <c r="D94" s="18">
        <f>IFERROR(INDEX('Rent Ledger'!$G$7:$G$1006,MATCH(79,'Rent Ledger'!$N$7:$N$1006,0))&amp;"","")</f>
        <v/>
      </c>
      <c r="E94" s="18">
        <f>IFERROR(INDEX('Rent Ledger'!$H$7:$H$1006,MATCH(79,'Rent Ledger'!$N$7:$N$1006,0))&amp;"","")</f>
        <v/>
      </c>
      <c r="F94" s="18">
        <f>IFERROR(INDEX('Rent Ledger'!$I$7:$I$1006,MATCH(79,'Rent Ledger'!$N$7:$N$1006,0))&amp;"","")</f>
        <v/>
      </c>
      <c r="G94" s="37">
        <f>IFERROR(N(INDEX('Rent Ledger'!$J$7:$J$1006,MATCH(79,'Rent Ledger'!$N$7:$N$1006,0))),"")</f>
        <v/>
      </c>
      <c r="H94" s="37">
        <f>IFERROR(N(INDEX('Rent Ledger'!$K$7:$K$1006,MATCH(79,'Rent Ledger'!$N$7:$N$1006,0))),"")</f>
        <v/>
      </c>
      <c r="I94" s="43">
        <f>IF(B94="","",SUM($G$16:G94)-SUM($H$16:H94))</f>
        <v/>
      </c>
    </row>
    <row r="95">
      <c r="B95" s="41">
        <f>IFERROR(INDEX('Rent Ledger'!$B$7:$B$1006,MATCH(80,'Rent Ledger'!$N$7:$N$1006,0)),"")</f>
        <v/>
      </c>
      <c r="C95" s="18">
        <f>IFERROR(INDEX('Rent Ledger'!$F$7:$F$1006,MATCH(80,'Rent Ledger'!$N$7:$N$1006,0))&amp;"","")</f>
        <v/>
      </c>
      <c r="D95" s="18">
        <f>IFERROR(INDEX('Rent Ledger'!$G$7:$G$1006,MATCH(80,'Rent Ledger'!$N$7:$N$1006,0))&amp;"","")</f>
        <v/>
      </c>
      <c r="E95" s="18">
        <f>IFERROR(INDEX('Rent Ledger'!$H$7:$H$1006,MATCH(80,'Rent Ledger'!$N$7:$N$1006,0))&amp;"","")</f>
        <v/>
      </c>
      <c r="F95" s="18">
        <f>IFERROR(INDEX('Rent Ledger'!$I$7:$I$1006,MATCH(80,'Rent Ledger'!$N$7:$N$1006,0))&amp;"","")</f>
        <v/>
      </c>
      <c r="G95" s="37">
        <f>IFERROR(N(INDEX('Rent Ledger'!$J$7:$J$1006,MATCH(80,'Rent Ledger'!$N$7:$N$1006,0))),"")</f>
        <v/>
      </c>
      <c r="H95" s="37">
        <f>IFERROR(N(INDEX('Rent Ledger'!$K$7:$K$1006,MATCH(80,'Rent Ledger'!$N$7:$N$1006,0))),"")</f>
        <v/>
      </c>
      <c r="I95" s="43">
        <f>IF(B95="","",SUM($G$16:G95)-SUM($H$16:H95))</f>
        <v/>
      </c>
    </row>
    <row r="96">
      <c r="B96" s="41">
        <f>IFERROR(INDEX('Rent Ledger'!$B$7:$B$1006,MATCH(81,'Rent Ledger'!$N$7:$N$1006,0)),"")</f>
        <v/>
      </c>
      <c r="C96" s="18">
        <f>IFERROR(INDEX('Rent Ledger'!$F$7:$F$1006,MATCH(81,'Rent Ledger'!$N$7:$N$1006,0))&amp;"","")</f>
        <v/>
      </c>
      <c r="D96" s="18">
        <f>IFERROR(INDEX('Rent Ledger'!$G$7:$G$1006,MATCH(81,'Rent Ledger'!$N$7:$N$1006,0))&amp;"","")</f>
        <v/>
      </c>
      <c r="E96" s="18">
        <f>IFERROR(INDEX('Rent Ledger'!$H$7:$H$1006,MATCH(81,'Rent Ledger'!$N$7:$N$1006,0))&amp;"","")</f>
        <v/>
      </c>
      <c r="F96" s="18">
        <f>IFERROR(INDEX('Rent Ledger'!$I$7:$I$1006,MATCH(81,'Rent Ledger'!$N$7:$N$1006,0))&amp;"","")</f>
        <v/>
      </c>
      <c r="G96" s="37">
        <f>IFERROR(N(INDEX('Rent Ledger'!$J$7:$J$1006,MATCH(81,'Rent Ledger'!$N$7:$N$1006,0))),"")</f>
        <v/>
      </c>
      <c r="H96" s="37">
        <f>IFERROR(N(INDEX('Rent Ledger'!$K$7:$K$1006,MATCH(81,'Rent Ledger'!$N$7:$N$1006,0))),"")</f>
        <v/>
      </c>
      <c r="I96" s="43">
        <f>IF(B96="","",SUM($G$16:G96)-SUM($H$16:H96))</f>
        <v/>
      </c>
    </row>
    <row r="97">
      <c r="B97" s="41">
        <f>IFERROR(INDEX('Rent Ledger'!$B$7:$B$1006,MATCH(82,'Rent Ledger'!$N$7:$N$1006,0)),"")</f>
        <v/>
      </c>
      <c r="C97" s="18">
        <f>IFERROR(INDEX('Rent Ledger'!$F$7:$F$1006,MATCH(82,'Rent Ledger'!$N$7:$N$1006,0))&amp;"","")</f>
        <v/>
      </c>
      <c r="D97" s="18">
        <f>IFERROR(INDEX('Rent Ledger'!$G$7:$G$1006,MATCH(82,'Rent Ledger'!$N$7:$N$1006,0))&amp;"","")</f>
        <v/>
      </c>
      <c r="E97" s="18">
        <f>IFERROR(INDEX('Rent Ledger'!$H$7:$H$1006,MATCH(82,'Rent Ledger'!$N$7:$N$1006,0))&amp;"","")</f>
        <v/>
      </c>
      <c r="F97" s="18">
        <f>IFERROR(INDEX('Rent Ledger'!$I$7:$I$1006,MATCH(82,'Rent Ledger'!$N$7:$N$1006,0))&amp;"","")</f>
        <v/>
      </c>
      <c r="G97" s="37">
        <f>IFERROR(N(INDEX('Rent Ledger'!$J$7:$J$1006,MATCH(82,'Rent Ledger'!$N$7:$N$1006,0))),"")</f>
        <v/>
      </c>
      <c r="H97" s="37">
        <f>IFERROR(N(INDEX('Rent Ledger'!$K$7:$K$1006,MATCH(82,'Rent Ledger'!$N$7:$N$1006,0))),"")</f>
        <v/>
      </c>
      <c r="I97" s="43">
        <f>IF(B97="","",SUM($G$16:G97)-SUM($H$16:H97))</f>
        <v/>
      </c>
    </row>
    <row r="98">
      <c r="B98" s="41">
        <f>IFERROR(INDEX('Rent Ledger'!$B$7:$B$1006,MATCH(83,'Rent Ledger'!$N$7:$N$1006,0)),"")</f>
        <v/>
      </c>
      <c r="C98" s="18">
        <f>IFERROR(INDEX('Rent Ledger'!$F$7:$F$1006,MATCH(83,'Rent Ledger'!$N$7:$N$1006,0))&amp;"","")</f>
        <v/>
      </c>
      <c r="D98" s="18">
        <f>IFERROR(INDEX('Rent Ledger'!$G$7:$G$1006,MATCH(83,'Rent Ledger'!$N$7:$N$1006,0))&amp;"","")</f>
        <v/>
      </c>
      <c r="E98" s="18">
        <f>IFERROR(INDEX('Rent Ledger'!$H$7:$H$1006,MATCH(83,'Rent Ledger'!$N$7:$N$1006,0))&amp;"","")</f>
        <v/>
      </c>
      <c r="F98" s="18">
        <f>IFERROR(INDEX('Rent Ledger'!$I$7:$I$1006,MATCH(83,'Rent Ledger'!$N$7:$N$1006,0))&amp;"","")</f>
        <v/>
      </c>
      <c r="G98" s="37">
        <f>IFERROR(N(INDEX('Rent Ledger'!$J$7:$J$1006,MATCH(83,'Rent Ledger'!$N$7:$N$1006,0))),"")</f>
        <v/>
      </c>
      <c r="H98" s="37">
        <f>IFERROR(N(INDEX('Rent Ledger'!$K$7:$K$1006,MATCH(83,'Rent Ledger'!$N$7:$N$1006,0))),"")</f>
        <v/>
      </c>
      <c r="I98" s="43">
        <f>IF(B98="","",SUM($G$16:G98)-SUM($H$16:H98))</f>
        <v/>
      </c>
    </row>
    <row r="99">
      <c r="B99" s="41">
        <f>IFERROR(INDEX('Rent Ledger'!$B$7:$B$1006,MATCH(84,'Rent Ledger'!$N$7:$N$1006,0)),"")</f>
        <v/>
      </c>
      <c r="C99" s="18">
        <f>IFERROR(INDEX('Rent Ledger'!$F$7:$F$1006,MATCH(84,'Rent Ledger'!$N$7:$N$1006,0))&amp;"","")</f>
        <v/>
      </c>
      <c r="D99" s="18">
        <f>IFERROR(INDEX('Rent Ledger'!$G$7:$G$1006,MATCH(84,'Rent Ledger'!$N$7:$N$1006,0))&amp;"","")</f>
        <v/>
      </c>
      <c r="E99" s="18">
        <f>IFERROR(INDEX('Rent Ledger'!$H$7:$H$1006,MATCH(84,'Rent Ledger'!$N$7:$N$1006,0))&amp;"","")</f>
        <v/>
      </c>
      <c r="F99" s="18">
        <f>IFERROR(INDEX('Rent Ledger'!$I$7:$I$1006,MATCH(84,'Rent Ledger'!$N$7:$N$1006,0))&amp;"","")</f>
        <v/>
      </c>
      <c r="G99" s="37">
        <f>IFERROR(N(INDEX('Rent Ledger'!$J$7:$J$1006,MATCH(84,'Rent Ledger'!$N$7:$N$1006,0))),"")</f>
        <v/>
      </c>
      <c r="H99" s="37">
        <f>IFERROR(N(INDEX('Rent Ledger'!$K$7:$K$1006,MATCH(84,'Rent Ledger'!$N$7:$N$1006,0))),"")</f>
        <v/>
      </c>
      <c r="I99" s="43">
        <f>IF(B99="","",SUM($G$16:G99)-SUM($H$16:H99))</f>
        <v/>
      </c>
    </row>
    <row r="100">
      <c r="B100" s="41">
        <f>IFERROR(INDEX('Rent Ledger'!$B$7:$B$1006,MATCH(85,'Rent Ledger'!$N$7:$N$1006,0)),"")</f>
        <v/>
      </c>
      <c r="C100" s="18">
        <f>IFERROR(INDEX('Rent Ledger'!$F$7:$F$1006,MATCH(85,'Rent Ledger'!$N$7:$N$1006,0))&amp;"","")</f>
        <v/>
      </c>
      <c r="D100" s="18">
        <f>IFERROR(INDEX('Rent Ledger'!$G$7:$G$1006,MATCH(85,'Rent Ledger'!$N$7:$N$1006,0))&amp;"","")</f>
        <v/>
      </c>
      <c r="E100" s="18">
        <f>IFERROR(INDEX('Rent Ledger'!$H$7:$H$1006,MATCH(85,'Rent Ledger'!$N$7:$N$1006,0))&amp;"","")</f>
        <v/>
      </c>
      <c r="F100" s="18">
        <f>IFERROR(INDEX('Rent Ledger'!$I$7:$I$1006,MATCH(85,'Rent Ledger'!$N$7:$N$1006,0))&amp;"","")</f>
        <v/>
      </c>
      <c r="G100" s="37">
        <f>IFERROR(N(INDEX('Rent Ledger'!$J$7:$J$1006,MATCH(85,'Rent Ledger'!$N$7:$N$1006,0))),"")</f>
        <v/>
      </c>
      <c r="H100" s="37">
        <f>IFERROR(N(INDEX('Rent Ledger'!$K$7:$K$1006,MATCH(85,'Rent Ledger'!$N$7:$N$1006,0))),"")</f>
        <v/>
      </c>
      <c r="I100" s="43">
        <f>IF(B100="","",SUM($G$16:G100)-SUM($H$16:H100))</f>
        <v/>
      </c>
    </row>
    <row r="101">
      <c r="B101" s="41">
        <f>IFERROR(INDEX('Rent Ledger'!$B$7:$B$1006,MATCH(86,'Rent Ledger'!$N$7:$N$1006,0)),"")</f>
        <v/>
      </c>
      <c r="C101" s="18">
        <f>IFERROR(INDEX('Rent Ledger'!$F$7:$F$1006,MATCH(86,'Rent Ledger'!$N$7:$N$1006,0))&amp;"","")</f>
        <v/>
      </c>
      <c r="D101" s="18">
        <f>IFERROR(INDEX('Rent Ledger'!$G$7:$G$1006,MATCH(86,'Rent Ledger'!$N$7:$N$1006,0))&amp;"","")</f>
        <v/>
      </c>
      <c r="E101" s="18">
        <f>IFERROR(INDEX('Rent Ledger'!$H$7:$H$1006,MATCH(86,'Rent Ledger'!$N$7:$N$1006,0))&amp;"","")</f>
        <v/>
      </c>
      <c r="F101" s="18">
        <f>IFERROR(INDEX('Rent Ledger'!$I$7:$I$1006,MATCH(86,'Rent Ledger'!$N$7:$N$1006,0))&amp;"","")</f>
        <v/>
      </c>
      <c r="G101" s="37">
        <f>IFERROR(N(INDEX('Rent Ledger'!$J$7:$J$1006,MATCH(86,'Rent Ledger'!$N$7:$N$1006,0))),"")</f>
        <v/>
      </c>
      <c r="H101" s="37">
        <f>IFERROR(N(INDEX('Rent Ledger'!$K$7:$K$1006,MATCH(86,'Rent Ledger'!$N$7:$N$1006,0))),"")</f>
        <v/>
      </c>
      <c r="I101" s="43">
        <f>IF(B101="","",SUM($G$16:G101)-SUM($H$16:H101))</f>
        <v/>
      </c>
    </row>
    <row r="102">
      <c r="B102" s="41">
        <f>IFERROR(INDEX('Rent Ledger'!$B$7:$B$1006,MATCH(87,'Rent Ledger'!$N$7:$N$1006,0)),"")</f>
        <v/>
      </c>
      <c r="C102" s="18">
        <f>IFERROR(INDEX('Rent Ledger'!$F$7:$F$1006,MATCH(87,'Rent Ledger'!$N$7:$N$1006,0))&amp;"","")</f>
        <v/>
      </c>
      <c r="D102" s="18">
        <f>IFERROR(INDEX('Rent Ledger'!$G$7:$G$1006,MATCH(87,'Rent Ledger'!$N$7:$N$1006,0))&amp;"","")</f>
        <v/>
      </c>
      <c r="E102" s="18">
        <f>IFERROR(INDEX('Rent Ledger'!$H$7:$H$1006,MATCH(87,'Rent Ledger'!$N$7:$N$1006,0))&amp;"","")</f>
        <v/>
      </c>
      <c r="F102" s="18">
        <f>IFERROR(INDEX('Rent Ledger'!$I$7:$I$1006,MATCH(87,'Rent Ledger'!$N$7:$N$1006,0))&amp;"","")</f>
        <v/>
      </c>
      <c r="G102" s="37">
        <f>IFERROR(N(INDEX('Rent Ledger'!$J$7:$J$1006,MATCH(87,'Rent Ledger'!$N$7:$N$1006,0))),"")</f>
        <v/>
      </c>
      <c r="H102" s="37">
        <f>IFERROR(N(INDEX('Rent Ledger'!$K$7:$K$1006,MATCH(87,'Rent Ledger'!$N$7:$N$1006,0))),"")</f>
        <v/>
      </c>
      <c r="I102" s="43">
        <f>IF(B102="","",SUM($G$16:G102)-SUM($H$16:H102))</f>
        <v/>
      </c>
    </row>
    <row r="103">
      <c r="B103" s="41">
        <f>IFERROR(INDEX('Rent Ledger'!$B$7:$B$1006,MATCH(88,'Rent Ledger'!$N$7:$N$1006,0)),"")</f>
        <v/>
      </c>
      <c r="C103" s="18">
        <f>IFERROR(INDEX('Rent Ledger'!$F$7:$F$1006,MATCH(88,'Rent Ledger'!$N$7:$N$1006,0))&amp;"","")</f>
        <v/>
      </c>
      <c r="D103" s="18">
        <f>IFERROR(INDEX('Rent Ledger'!$G$7:$G$1006,MATCH(88,'Rent Ledger'!$N$7:$N$1006,0))&amp;"","")</f>
        <v/>
      </c>
      <c r="E103" s="18">
        <f>IFERROR(INDEX('Rent Ledger'!$H$7:$H$1006,MATCH(88,'Rent Ledger'!$N$7:$N$1006,0))&amp;"","")</f>
        <v/>
      </c>
      <c r="F103" s="18">
        <f>IFERROR(INDEX('Rent Ledger'!$I$7:$I$1006,MATCH(88,'Rent Ledger'!$N$7:$N$1006,0))&amp;"","")</f>
        <v/>
      </c>
      <c r="G103" s="37">
        <f>IFERROR(N(INDEX('Rent Ledger'!$J$7:$J$1006,MATCH(88,'Rent Ledger'!$N$7:$N$1006,0))),"")</f>
        <v/>
      </c>
      <c r="H103" s="37">
        <f>IFERROR(N(INDEX('Rent Ledger'!$K$7:$K$1006,MATCH(88,'Rent Ledger'!$N$7:$N$1006,0))),"")</f>
        <v/>
      </c>
      <c r="I103" s="43">
        <f>IF(B103="","",SUM($G$16:G103)-SUM($H$16:H103))</f>
        <v/>
      </c>
    </row>
    <row r="104">
      <c r="B104" s="41">
        <f>IFERROR(INDEX('Rent Ledger'!$B$7:$B$1006,MATCH(89,'Rent Ledger'!$N$7:$N$1006,0)),"")</f>
        <v/>
      </c>
      <c r="C104" s="18">
        <f>IFERROR(INDEX('Rent Ledger'!$F$7:$F$1006,MATCH(89,'Rent Ledger'!$N$7:$N$1006,0))&amp;"","")</f>
        <v/>
      </c>
      <c r="D104" s="18">
        <f>IFERROR(INDEX('Rent Ledger'!$G$7:$G$1006,MATCH(89,'Rent Ledger'!$N$7:$N$1006,0))&amp;"","")</f>
        <v/>
      </c>
      <c r="E104" s="18">
        <f>IFERROR(INDEX('Rent Ledger'!$H$7:$H$1006,MATCH(89,'Rent Ledger'!$N$7:$N$1006,0))&amp;"","")</f>
        <v/>
      </c>
      <c r="F104" s="18">
        <f>IFERROR(INDEX('Rent Ledger'!$I$7:$I$1006,MATCH(89,'Rent Ledger'!$N$7:$N$1006,0))&amp;"","")</f>
        <v/>
      </c>
      <c r="G104" s="37">
        <f>IFERROR(N(INDEX('Rent Ledger'!$J$7:$J$1006,MATCH(89,'Rent Ledger'!$N$7:$N$1006,0))),"")</f>
        <v/>
      </c>
      <c r="H104" s="37">
        <f>IFERROR(N(INDEX('Rent Ledger'!$K$7:$K$1006,MATCH(89,'Rent Ledger'!$N$7:$N$1006,0))),"")</f>
        <v/>
      </c>
      <c r="I104" s="43">
        <f>IF(B104="","",SUM($G$16:G104)-SUM($H$16:H104))</f>
        <v/>
      </c>
    </row>
    <row r="105">
      <c r="B105" s="41">
        <f>IFERROR(INDEX('Rent Ledger'!$B$7:$B$1006,MATCH(90,'Rent Ledger'!$N$7:$N$1006,0)),"")</f>
        <v/>
      </c>
      <c r="C105" s="18">
        <f>IFERROR(INDEX('Rent Ledger'!$F$7:$F$1006,MATCH(90,'Rent Ledger'!$N$7:$N$1006,0))&amp;"","")</f>
        <v/>
      </c>
      <c r="D105" s="18">
        <f>IFERROR(INDEX('Rent Ledger'!$G$7:$G$1006,MATCH(90,'Rent Ledger'!$N$7:$N$1006,0))&amp;"","")</f>
        <v/>
      </c>
      <c r="E105" s="18">
        <f>IFERROR(INDEX('Rent Ledger'!$H$7:$H$1006,MATCH(90,'Rent Ledger'!$N$7:$N$1006,0))&amp;"","")</f>
        <v/>
      </c>
      <c r="F105" s="18">
        <f>IFERROR(INDEX('Rent Ledger'!$I$7:$I$1006,MATCH(90,'Rent Ledger'!$N$7:$N$1006,0))&amp;"","")</f>
        <v/>
      </c>
      <c r="G105" s="37">
        <f>IFERROR(N(INDEX('Rent Ledger'!$J$7:$J$1006,MATCH(90,'Rent Ledger'!$N$7:$N$1006,0))),"")</f>
        <v/>
      </c>
      <c r="H105" s="37">
        <f>IFERROR(N(INDEX('Rent Ledger'!$K$7:$K$1006,MATCH(90,'Rent Ledger'!$N$7:$N$1006,0))),"")</f>
        <v/>
      </c>
      <c r="I105" s="43">
        <f>IF(B105="","",SUM($G$16:G105)-SUM($H$16:H105))</f>
        <v/>
      </c>
    </row>
    <row r="106">
      <c r="B106" s="41">
        <f>IFERROR(INDEX('Rent Ledger'!$B$7:$B$1006,MATCH(91,'Rent Ledger'!$N$7:$N$1006,0)),"")</f>
        <v/>
      </c>
      <c r="C106" s="18">
        <f>IFERROR(INDEX('Rent Ledger'!$F$7:$F$1006,MATCH(91,'Rent Ledger'!$N$7:$N$1006,0))&amp;"","")</f>
        <v/>
      </c>
      <c r="D106" s="18">
        <f>IFERROR(INDEX('Rent Ledger'!$G$7:$G$1006,MATCH(91,'Rent Ledger'!$N$7:$N$1006,0))&amp;"","")</f>
        <v/>
      </c>
      <c r="E106" s="18">
        <f>IFERROR(INDEX('Rent Ledger'!$H$7:$H$1006,MATCH(91,'Rent Ledger'!$N$7:$N$1006,0))&amp;"","")</f>
        <v/>
      </c>
      <c r="F106" s="18">
        <f>IFERROR(INDEX('Rent Ledger'!$I$7:$I$1006,MATCH(91,'Rent Ledger'!$N$7:$N$1006,0))&amp;"","")</f>
        <v/>
      </c>
      <c r="G106" s="37">
        <f>IFERROR(N(INDEX('Rent Ledger'!$J$7:$J$1006,MATCH(91,'Rent Ledger'!$N$7:$N$1006,0))),"")</f>
        <v/>
      </c>
      <c r="H106" s="37">
        <f>IFERROR(N(INDEX('Rent Ledger'!$K$7:$K$1006,MATCH(91,'Rent Ledger'!$N$7:$N$1006,0))),"")</f>
        <v/>
      </c>
      <c r="I106" s="43">
        <f>IF(B106="","",SUM($G$16:G106)-SUM($H$16:H106))</f>
        <v/>
      </c>
    </row>
    <row r="107">
      <c r="B107" s="41">
        <f>IFERROR(INDEX('Rent Ledger'!$B$7:$B$1006,MATCH(92,'Rent Ledger'!$N$7:$N$1006,0)),"")</f>
        <v/>
      </c>
      <c r="C107" s="18">
        <f>IFERROR(INDEX('Rent Ledger'!$F$7:$F$1006,MATCH(92,'Rent Ledger'!$N$7:$N$1006,0))&amp;"","")</f>
        <v/>
      </c>
      <c r="D107" s="18">
        <f>IFERROR(INDEX('Rent Ledger'!$G$7:$G$1006,MATCH(92,'Rent Ledger'!$N$7:$N$1006,0))&amp;"","")</f>
        <v/>
      </c>
      <c r="E107" s="18">
        <f>IFERROR(INDEX('Rent Ledger'!$H$7:$H$1006,MATCH(92,'Rent Ledger'!$N$7:$N$1006,0))&amp;"","")</f>
        <v/>
      </c>
      <c r="F107" s="18">
        <f>IFERROR(INDEX('Rent Ledger'!$I$7:$I$1006,MATCH(92,'Rent Ledger'!$N$7:$N$1006,0))&amp;"","")</f>
        <v/>
      </c>
      <c r="G107" s="37">
        <f>IFERROR(N(INDEX('Rent Ledger'!$J$7:$J$1006,MATCH(92,'Rent Ledger'!$N$7:$N$1006,0))),"")</f>
        <v/>
      </c>
      <c r="H107" s="37">
        <f>IFERROR(N(INDEX('Rent Ledger'!$K$7:$K$1006,MATCH(92,'Rent Ledger'!$N$7:$N$1006,0))),"")</f>
        <v/>
      </c>
      <c r="I107" s="43">
        <f>IF(B107="","",SUM($G$16:G107)-SUM($H$16:H107))</f>
        <v/>
      </c>
    </row>
    <row r="108">
      <c r="B108" s="41">
        <f>IFERROR(INDEX('Rent Ledger'!$B$7:$B$1006,MATCH(93,'Rent Ledger'!$N$7:$N$1006,0)),"")</f>
        <v/>
      </c>
      <c r="C108" s="18">
        <f>IFERROR(INDEX('Rent Ledger'!$F$7:$F$1006,MATCH(93,'Rent Ledger'!$N$7:$N$1006,0))&amp;"","")</f>
        <v/>
      </c>
      <c r="D108" s="18">
        <f>IFERROR(INDEX('Rent Ledger'!$G$7:$G$1006,MATCH(93,'Rent Ledger'!$N$7:$N$1006,0))&amp;"","")</f>
        <v/>
      </c>
      <c r="E108" s="18">
        <f>IFERROR(INDEX('Rent Ledger'!$H$7:$H$1006,MATCH(93,'Rent Ledger'!$N$7:$N$1006,0))&amp;"","")</f>
        <v/>
      </c>
      <c r="F108" s="18">
        <f>IFERROR(INDEX('Rent Ledger'!$I$7:$I$1006,MATCH(93,'Rent Ledger'!$N$7:$N$1006,0))&amp;"","")</f>
        <v/>
      </c>
      <c r="G108" s="37">
        <f>IFERROR(N(INDEX('Rent Ledger'!$J$7:$J$1006,MATCH(93,'Rent Ledger'!$N$7:$N$1006,0))),"")</f>
        <v/>
      </c>
      <c r="H108" s="37">
        <f>IFERROR(N(INDEX('Rent Ledger'!$K$7:$K$1006,MATCH(93,'Rent Ledger'!$N$7:$N$1006,0))),"")</f>
        <v/>
      </c>
      <c r="I108" s="43">
        <f>IF(B108="","",SUM($G$16:G108)-SUM($H$16:H108))</f>
        <v/>
      </c>
    </row>
    <row r="109">
      <c r="B109" s="41">
        <f>IFERROR(INDEX('Rent Ledger'!$B$7:$B$1006,MATCH(94,'Rent Ledger'!$N$7:$N$1006,0)),"")</f>
        <v/>
      </c>
      <c r="C109" s="18">
        <f>IFERROR(INDEX('Rent Ledger'!$F$7:$F$1006,MATCH(94,'Rent Ledger'!$N$7:$N$1006,0))&amp;"","")</f>
        <v/>
      </c>
      <c r="D109" s="18">
        <f>IFERROR(INDEX('Rent Ledger'!$G$7:$G$1006,MATCH(94,'Rent Ledger'!$N$7:$N$1006,0))&amp;"","")</f>
        <v/>
      </c>
      <c r="E109" s="18">
        <f>IFERROR(INDEX('Rent Ledger'!$H$7:$H$1006,MATCH(94,'Rent Ledger'!$N$7:$N$1006,0))&amp;"","")</f>
        <v/>
      </c>
      <c r="F109" s="18">
        <f>IFERROR(INDEX('Rent Ledger'!$I$7:$I$1006,MATCH(94,'Rent Ledger'!$N$7:$N$1006,0))&amp;"","")</f>
        <v/>
      </c>
      <c r="G109" s="37">
        <f>IFERROR(N(INDEX('Rent Ledger'!$J$7:$J$1006,MATCH(94,'Rent Ledger'!$N$7:$N$1006,0))),"")</f>
        <v/>
      </c>
      <c r="H109" s="37">
        <f>IFERROR(N(INDEX('Rent Ledger'!$K$7:$K$1006,MATCH(94,'Rent Ledger'!$N$7:$N$1006,0))),"")</f>
        <v/>
      </c>
      <c r="I109" s="43">
        <f>IF(B109="","",SUM($G$16:G109)-SUM($H$16:H109))</f>
        <v/>
      </c>
    </row>
    <row r="110">
      <c r="B110" s="41">
        <f>IFERROR(INDEX('Rent Ledger'!$B$7:$B$1006,MATCH(95,'Rent Ledger'!$N$7:$N$1006,0)),"")</f>
        <v/>
      </c>
      <c r="C110" s="18">
        <f>IFERROR(INDEX('Rent Ledger'!$F$7:$F$1006,MATCH(95,'Rent Ledger'!$N$7:$N$1006,0))&amp;"","")</f>
        <v/>
      </c>
      <c r="D110" s="18">
        <f>IFERROR(INDEX('Rent Ledger'!$G$7:$G$1006,MATCH(95,'Rent Ledger'!$N$7:$N$1006,0))&amp;"","")</f>
        <v/>
      </c>
      <c r="E110" s="18">
        <f>IFERROR(INDEX('Rent Ledger'!$H$7:$H$1006,MATCH(95,'Rent Ledger'!$N$7:$N$1006,0))&amp;"","")</f>
        <v/>
      </c>
      <c r="F110" s="18">
        <f>IFERROR(INDEX('Rent Ledger'!$I$7:$I$1006,MATCH(95,'Rent Ledger'!$N$7:$N$1006,0))&amp;"","")</f>
        <v/>
      </c>
      <c r="G110" s="37">
        <f>IFERROR(N(INDEX('Rent Ledger'!$J$7:$J$1006,MATCH(95,'Rent Ledger'!$N$7:$N$1006,0))),"")</f>
        <v/>
      </c>
      <c r="H110" s="37">
        <f>IFERROR(N(INDEX('Rent Ledger'!$K$7:$K$1006,MATCH(95,'Rent Ledger'!$N$7:$N$1006,0))),"")</f>
        <v/>
      </c>
      <c r="I110" s="43">
        <f>IF(B110="","",SUM($G$16:G110)-SUM($H$16:H110))</f>
        <v/>
      </c>
    </row>
    <row r="111">
      <c r="B111" s="41">
        <f>IFERROR(INDEX('Rent Ledger'!$B$7:$B$1006,MATCH(96,'Rent Ledger'!$N$7:$N$1006,0)),"")</f>
        <v/>
      </c>
      <c r="C111" s="18">
        <f>IFERROR(INDEX('Rent Ledger'!$F$7:$F$1006,MATCH(96,'Rent Ledger'!$N$7:$N$1006,0))&amp;"","")</f>
        <v/>
      </c>
      <c r="D111" s="18">
        <f>IFERROR(INDEX('Rent Ledger'!$G$7:$G$1006,MATCH(96,'Rent Ledger'!$N$7:$N$1006,0))&amp;"","")</f>
        <v/>
      </c>
      <c r="E111" s="18">
        <f>IFERROR(INDEX('Rent Ledger'!$H$7:$H$1006,MATCH(96,'Rent Ledger'!$N$7:$N$1006,0))&amp;"","")</f>
        <v/>
      </c>
      <c r="F111" s="18">
        <f>IFERROR(INDEX('Rent Ledger'!$I$7:$I$1006,MATCH(96,'Rent Ledger'!$N$7:$N$1006,0))&amp;"","")</f>
        <v/>
      </c>
      <c r="G111" s="37">
        <f>IFERROR(N(INDEX('Rent Ledger'!$J$7:$J$1006,MATCH(96,'Rent Ledger'!$N$7:$N$1006,0))),"")</f>
        <v/>
      </c>
      <c r="H111" s="37">
        <f>IFERROR(N(INDEX('Rent Ledger'!$K$7:$K$1006,MATCH(96,'Rent Ledger'!$N$7:$N$1006,0))),"")</f>
        <v/>
      </c>
      <c r="I111" s="43">
        <f>IF(B111="","",SUM($G$16:G111)-SUM($H$16:H111))</f>
        <v/>
      </c>
    </row>
    <row r="112">
      <c r="B112" s="41">
        <f>IFERROR(INDEX('Rent Ledger'!$B$7:$B$1006,MATCH(97,'Rent Ledger'!$N$7:$N$1006,0)),"")</f>
        <v/>
      </c>
      <c r="C112" s="18">
        <f>IFERROR(INDEX('Rent Ledger'!$F$7:$F$1006,MATCH(97,'Rent Ledger'!$N$7:$N$1006,0))&amp;"","")</f>
        <v/>
      </c>
      <c r="D112" s="18">
        <f>IFERROR(INDEX('Rent Ledger'!$G$7:$G$1006,MATCH(97,'Rent Ledger'!$N$7:$N$1006,0))&amp;"","")</f>
        <v/>
      </c>
      <c r="E112" s="18">
        <f>IFERROR(INDEX('Rent Ledger'!$H$7:$H$1006,MATCH(97,'Rent Ledger'!$N$7:$N$1006,0))&amp;"","")</f>
        <v/>
      </c>
      <c r="F112" s="18">
        <f>IFERROR(INDEX('Rent Ledger'!$I$7:$I$1006,MATCH(97,'Rent Ledger'!$N$7:$N$1006,0))&amp;"","")</f>
        <v/>
      </c>
      <c r="G112" s="37">
        <f>IFERROR(N(INDEX('Rent Ledger'!$J$7:$J$1006,MATCH(97,'Rent Ledger'!$N$7:$N$1006,0))),"")</f>
        <v/>
      </c>
      <c r="H112" s="37">
        <f>IFERROR(N(INDEX('Rent Ledger'!$K$7:$K$1006,MATCH(97,'Rent Ledger'!$N$7:$N$1006,0))),"")</f>
        <v/>
      </c>
      <c r="I112" s="43">
        <f>IF(B112="","",SUM($G$16:G112)-SUM($H$16:H112))</f>
        <v/>
      </c>
    </row>
    <row r="113">
      <c r="B113" s="41">
        <f>IFERROR(INDEX('Rent Ledger'!$B$7:$B$1006,MATCH(98,'Rent Ledger'!$N$7:$N$1006,0)),"")</f>
        <v/>
      </c>
      <c r="C113" s="18">
        <f>IFERROR(INDEX('Rent Ledger'!$F$7:$F$1006,MATCH(98,'Rent Ledger'!$N$7:$N$1006,0))&amp;"","")</f>
        <v/>
      </c>
      <c r="D113" s="18">
        <f>IFERROR(INDEX('Rent Ledger'!$G$7:$G$1006,MATCH(98,'Rent Ledger'!$N$7:$N$1006,0))&amp;"","")</f>
        <v/>
      </c>
      <c r="E113" s="18">
        <f>IFERROR(INDEX('Rent Ledger'!$H$7:$H$1006,MATCH(98,'Rent Ledger'!$N$7:$N$1006,0))&amp;"","")</f>
        <v/>
      </c>
      <c r="F113" s="18">
        <f>IFERROR(INDEX('Rent Ledger'!$I$7:$I$1006,MATCH(98,'Rent Ledger'!$N$7:$N$1006,0))&amp;"","")</f>
        <v/>
      </c>
      <c r="G113" s="37">
        <f>IFERROR(N(INDEX('Rent Ledger'!$J$7:$J$1006,MATCH(98,'Rent Ledger'!$N$7:$N$1006,0))),"")</f>
        <v/>
      </c>
      <c r="H113" s="37">
        <f>IFERROR(N(INDEX('Rent Ledger'!$K$7:$K$1006,MATCH(98,'Rent Ledger'!$N$7:$N$1006,0))),"")</f>
        <v/>
      </c>
      <c r="I113" s="43">
        <f>IF(B113="","",SUM($G$16:G113)-SUM($H$16:H113))</f>
        <v/>
      </c>
    </row>
    <row r="114">
      <c r="B114" s="41">
        <f>IFERROR(INDEX('Rent Ledger'!$B$7:$B$1006,MATCH(99,'Rent Ledger'!$N$7:$N$1006,0)),"")</f>
        <v/>
      </c>
      <c r="C114" s="18">
        <f>IFERROR(INDEX('Rent Ledger'!$F$7:$F$1006,MATCH(99,'Rent Ledger'!$N$7:$N$1006,0))&amp;"","")</f>
        <v/>
      </c>
      <c r="D114" s="18">
        <f>IFERROR(INDEX('Rent Ledger'!$G$7:$G$1006,MATCH(99,'Rent Ledger'!$N$7:$N$1006,0))&amp;"","")</f>
        <v/>
      </c>
      <c r="E114" s="18">
        <f>IFERROR(INDEX('Rent Ledger'!$H$7:$H$1006,MATCH(99,'Rent Ledger'!$N$7:$N$1006,0))&amp;"","")</f>
        <v/>
      </c>
      <c r="F114" s="18">
        <f>IFERROR(INDEX('Rent Ledger'!$I$7:$I$1006,MATCH(99,'Rent Ledger'!$N$7:$N$1006,0))&amp;"","")</f>
        <v/>
      </c>
      <c r="G114" s="37">
        <f>IFERROR(N(INDEX('Rent Ledger'!$J$7:$J$1006,MATCH(99,'Rent Ledger'!$N$7:$N$1006,0))),"")</f>
        <v/>
      </c>
      <c r="H114" s="37">
        <f>IFERROR(N(INDEX('Rent Ledger'!$K$7:$K$1006,MATCH(99,'Rent Ledger'!$N$7:$N$1006,0))),"")</f>
        <v/>
      </c>
      <c r="I114" s="43">
        <f>IF(B114="","",SUM($G$16:G114)-SUM($H$16:H114))</f>
        <v/>
      </c>
    </row>
    <row r="115">
      <c r="B115" s="41">
        <f>IFERROR(INDEX('Rent Ledger'!$B$7:$B$1006,MATCH(100,'Rent Ledger'!$N$7:$N$1006,0)),"")</f>
        <v/>
      </c>
      <c r="C115" s="18">
        <f>IFERROR(INDEX('Rent Ledger'!$F$7:$F$1006,MATCH(100,'Rent Ledger'!$N$7:$N$1006,0))&amp;"","")</f>
        <v/>
      </c>
      <c r="D115" s="18">
        <f>IFERROR(INDEX('Rent Ledger'!$G$7:$G$1006,MATCH(100,'Rent Ledger'!$N$7:$N$1006,0))&amp;"","")</f>
        <v/>
      </c>
      <c r="E115" s="18">
        <f>IFERROR(INDEX('Rent Ledger'!$H$7:$H$1006,MATCH(100,'Rent Ledger'!$N$7:$N$1006,0))&amp;"","")</f>
        <v/>
      </c>
      <c r="F115" s="18">
        <f>IFERROR(INDEX('Rent Ledger'!$I$7:$I$1006,MATCH(100,'Rent Ledger'!$N$7:$N$1006,0))&amp;"","")</f>
        <v/>
      </c>
      <c r="G115" s="37">
        <f>IFERROR(N(INDEX('Rent Ledger'!$J$7:$J$1006,MATCH(100,'Rent Ledger'!$N$7:$N$1006,0))),"")</f>
        <v/>
      </c>
      <c r="H115" s="37">
        <f>IFERROR(N(INDEX('Rent Ledger'!$K$7:$K$1006,MATCH(100,'Rent Ledger'!$N$7:$N$1006,0))),"")</f>
        <v/>
      </c>
      <c r="I115" s="43">
        <f>IF(B115="","",SUM($G$16:G115)-SUM($H$16:H115))</f>
        <v/>
      </c>
    </row>
  </sheetData>
  <mergeCells count="3">
    <mergeCell ref="G10:I11"/>
    <mergeCell ref="G9:I9"/>
    <mergeCell ref="C6:D6"/>
  </mergeCells>
  <dataValidations count="1">
    <dataValidation sqref="C6" showDropDown="0" showInputMessage="0" showErrorMessage="0" allowBlank="1" type="list">
      <formula1>=Tenants</formula1>
    </dataValidation>
  </dataValidations>
  <printOptions horizontalCentered="1"/>
  <pageMargins left="0.4" right="0.4" top="1" bottom="1" header="0.5" footer="0.5"/>
  <pageSetup orientation="portrait" fitToHeight="0" fitToWidth="1"/>
  <headerFooter>
    <oddHeader/>
    <oddFooter>&amp;L&amp;8 Landlord's Desk · landlordsdesk.com&amp;R&amp;8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F3F46"/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12" customWidth="1" min="8" max="8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2" t="n"/>
      <c r="B2" s="3" t="inlineStr">
        <is>
          <t>Monthly Summary</t>
        </is>
      </c>
      <c r="C2" s="2" t="n"/>
      <c r="D2" s="2" t="n"/>
      <c r="E2" s="2" t="n"/>
      <c r="F2" s="2" t="n"/>
      <c r="G2" s="2" t="n"/>
      <c r="H2" s="4" t="inlineStr">
        <is>
          <t>Landlord's Desk</t>
        </is>
      </c>
    </row>
    <row r="3" ht="20" customHeight="1">
      <c r="A3" s="2" t="n"/>
      <c r="B3" s="5" t="inlineStr">
        <is>
          <t>Charged vs collected for each month of the reporting year.</t>
        </is>
      </c>
      <c r="C3" s="2" t="n"/>
      <c r="D3" s="2" t="n"/>
      <c r="E3" s="2" t="n"/>
      <c r="F3" s="2" t="n"/>
      <c r="G3" s="2" t="n"/>
      <c r="H3" s="6" t="inlineStr">
        <is>
          <t>landlordsdesk.com</t>
        </is>
      </c>
    </row>
    <row r="4" ht="6" customHeight="1"/>
    <row r="6" ht="26" customHeight="1">
      <c r="B6" s="14" t="inlineStr">
        <is>
          <t>Month</t>
        </is>
      </c>
      <c r="C6" s="14" t="inlineStr">
        <is>
          <t>Charged</t>
        </is>
      </c>
      <c r="D6" s="14" t="inlineStr">
        <is>
          <t>Collected</t>
        </is>
      </c>
      <c r="E6" s="14" t="inlineStr">
        <is>
          <t>Difference</t>
        </is>
      </c>
      <c r="F6" s="14" t="inlineStr">
        <is>
          <t>Collection rate</t>
        </is>
      </c>
      <c r="G6" s="14" t="inlineStr">
        <is>
          <t>Running balance owed</t>
        </is>
      </c>
    </row>
    <row r="7">
      <c r="B7" s="17">
        <f>TEXT(DATE(ReportYear,1,1),"mmm yyyy")</f>
        <v/>
      </c>
      <c r="C7" s="53">
        <f>SUMIFS(LCharge,LDate,"&gt;="&amp;DATE(ReportYear,1,1),LDate,"&lt;"&amp;EDATE(DATE(ReportYear,1,1),1))-SUMIFS(LCharge,LType,"Refund",LDate,"&gt;="&amp;DATE(ReportYear,1,1),LDate,"&lt;"&amp;EDATE(DATE(ReportYear,1,1),1))-SUMIFS(LPayment,LType,"Adjustment",LDate,"&gt;="&amp;DATE(ReportYear,1,1),LDate,"&lt;"&amp;EDATE(DATE(ReportYear,1,1),1))-SUMIFS(LPayment,LType,"Void",LDate,"&gt;="&amp;DATE(ReportYear,1,1),LDate,"&lt;"&amp;EDATE(DATE(ReportYear,1,1),1))</f>
        <v/>
      </c>
      <c r="D7" s="53">
        <f>SUMIFS(LPayment,LType,"Payment",LDate,"&gt;="&amp;DATE(ReportYear,1,1),LDate,"&lt;"&amp;EDATE(DATE(ReportYear,1,1),1))-SUMIFS(LCharge,LType,"Refund",LDate,"&gt;="&amp;DATE(ReportYear,1,1),LDate,"&lt;"&amp;EDATE(DATE(ReportYear,1,1),1))</f>
        <v/>
      </c>
      <c r="E7" s="53">
        <f>D7-C7</f>
        <v/>
      </c>
      <c r="F7" s="54">
        <f>IF(C7=0,"",D7/C7)</f>
        <v/>
      </c>
      <c r="G7" s="53">
        <f>SUM($C$7:C7)-SUM($D$7:D7)</f>
        <v/>
      </c>
    </row>
    <row r="8">
      <c r="B8" s="17">
        <f>TEXT(DATE(ReportYear,2,1),"mmm yyyy")</f>
        <v/>
      </c>
      <c r="C8" s="53">
        <f>SUMIFS(LCharge,LDate,"&gt;="&amp;DATE(ReportYear,2,1),LDate,"&lt;"&amp;EDATE(DATE(ReportYear,2,1),1))-SUMIFS(LCharge,LType,"Refund",LDate,"&gt;="&amp;DATE(ReportYear,2,1),LDate,"&lt;"&amp;EDATE(DATE(ReportYear,2,1),1))-SUMIFS(LPayment,LType,"Adjustment",LDate,"&gt;="&amp;DATE(ReportYear,2,1),LDate,"&lt;"&amp;EDATE(DATE(ReportYear,2,1),1))-SUMIFS(LPayment,LType,"Void",LDate,"&gt;="&amp;DATE(ReportYear,2,1),LDate,"&lt;"&amp;EDATE(DATE(ReportYear,2,1),1))</f>
        <v/>
      </c>
      <c r="D8" s="53">
        <f>SUMIFS(LPayment,LType,"Payment",LDate,"&gt;="&amp;DATE(ReportYear,2,1),LDate,"&lt;"&amp;EDATE(DATE(ReportYear,2,1),1))-SUMIFS(LCharge,LType,"Refund",LDate,"&gt;="&amp;DATE(ReportYear,2,1),LDate,"&lt;"&amp;EDATE(DATE(ReportYear,2,1),1))</f>
        <v/>
      </c>
      <c r="E8" s="53">
        <f>D8-C8</f>
        <v/>
      </c>
      <c r="F8" s="54">
        <f>IF(C8=0,"",D8/C8)</f>
        <v/>
      </c>
      <c r="G8" s="53">
        <f>SUM($C$7:C8)-SUM($D$7:D8)</f>
        <v/>
      </c>
    </row>
    <row r="9">
      <c r="B9" s="17">
        <f>TEXT(DATE(ReportYear,3,1),"mmm yyyy")</f>
        <v/>
      </c>
      <c r="C9" s="53">
        <f>SUMIFS(LCharge,LDate,"&gt;="&amp;DATE(ReportYear,3,1),LDate,"&lt;"&amp;EDATE(DATE(ReportYear,3,1),1))-SUMIFS(LCharge,LType,"Refund",LDate,"&gt;="&amp;DATE(ReportYear,3,1),LDate,"&lt;"&amp;EDATE(DATE(ReportYear,3,1),1))-SUMIFS(LPayment,LType,"Adjustment",LDate,"&gt;="&amp;DATE(ReportYear,3,1),LDate,"&lt;"&amp;EDATE(DATE(ReportYear,3,1),1))-SUMIFS(LPayment,LType,"Void",LDate,"&gt;="&amp;DATE(ReportYear,3,1),LDate,"&lt;"&amp;EDATE(DATE(ReportYear,3,1),1))</f>
        <v/>
      </c>
      <c r="D9" s="53">
        <f>SUMIFS(LPayment,LType,"Payment",LDate,"&gt;="&amp;DATE(ReportYear,3,1),LDate,"&lt;"&amp;EDATE(DATE(ReportYear,3,1),1))-SUMIFS(LCharge,LType,"Refund",LDate,"&gt;="&amp;DATE(ReportYear,3,1),LDate,"&lt;"&amp;EDATE(DATE(ReportYear,3,1),1))</f>
        <v/>
      </c>
      <c r="E9" s="53">
        <f>D9-C9</f>
        <v/>
      </c>
      <c r="F9" s="54">
        <f>IF(C9=0,"",D9/C9)</f>
        <v/>
      </c>
      <c r="G9" s="53">
        <f>SUM($C$7:C9)-SUM($D$7:D9)</f>
        <v/>
      </c>
    </row>
    <row r="10">
      <c r="B10" s="17">
        <f>TEXT(DATE(ReportYear,4,1),"mmm yyyy")</f>
        <v/>
      </c>
      <c r="C10" s="53">
        <f>SUMIFS(LCharge,LDate,"&gt;="&amp;DATE(ReportYear,4,1),LDate,"&lt;"&amp;EDATE(DATE(ReportYear,4,1),1))-SUMIFS(LCharge,LType,"Refund",LDate,"&gt;="&amp;DATE(ReportYear,4,1),LDate,"&lt;"&amp;EDATE(DATE(ReportYear,4,1),1))-SUMIFS(LPayment,LType,"Adjustment",LDate,"&gt;="&amp;DATE(ReportYear,4,1),LDate,"&lt;"&amp;EDATE(DATE(ReportYear,4,1),1))-SUMIFS(LPayment,LType,"Void",LDate,"&gt;="&amp;DATE(ReportYear,4,1),LDate,"&lt;"&amp;EDATE(DATE(ReportYear,4,1),1))</f>
        <v/>
      </c>
      <c r="D10" s="53">
        <f>SUMIFS(LPayment,LType,"Payment",LDate,"&gt;="&amp;DATE(ReportYear,4,1),LDate,"&lt;"&amp;EDATE(DATE(ReportYear,4,1),1))-SUMIFS(LCharge,LType,"Refund",LDate,"&gt;="&amp;DATE(ReportYear,4,1),LDate,"&lt;"&amp;EDATE(DATE(ReportYear,4,1),1))</f>
        <v/>
      </c>
      <c r="E10" s="53">
        <f>D10-C10</f>
        <v/>
      </c>
      <c r="F10" s="54">
        <f>IF(C10=0,"",D10/C10)</f>
        <v/>
      </c>
      <c r="G10" s="53">
        <f>SUM($C$7:C10)-SUM($D$7:D10)</f>
        <v/>
      </c>
    </row>
    <row r="11">
      <c r="B11" s="17">
        <f>TEXT(DATE(ReportYear,5,1),"mmm yyyy")</f>
        <v/>
      </c>
      <c r="C11" s="53">
        <f>SUMIFS(LCharge,LDate,"&gt;="&amp;DATE(ReportYear,5,1),LDate,"&lt;"&amp;EDATE(DATE(ReportYear,5,1),1))-SUMIFS(LCharge,LType,"Refund",LDate,"&gt;="&amp;DATE(ReportYear,5,1),LDate,"&lt;"&amp;EDATE(DATE(ReportYear,5,1),1))-SUMIFS(LPayment,LType,"Adjustment",LDate,"&gt;="&amp;DATE(ReportYear,5,1),LDate,"&lt;"&amp;EDATE(DATE(ReportYear,5,1),1))-SUMIFS(LPayment,LType,"Void",LDate,"&gt;="&amp;DATE(ReportYear,5,1),LDate,"&lt;"&amp;EDATE(DATE(ReportYear,5,1),1))</f>
        <v/>
      </c>
      <c r="D11" s="53">
        <f>SUMIFS(LPayment,LType,"Payment",LDate,"&gt;="&amp;DATE(ReportYear,5,1),LDate,"&lt;"&amp;EDATE(DATE(ReportYear,5,1),1))-SUMIFS(LCharge,LType,"Refund",LDate,"&gt;="&amp;DATE(ReportYear,5,1),LDate,"&lt;"&amp;EDATE(DATE(ReportYear,5,1),1))</f>
        <v/>
      </c>
      <c r="E11" s="53">
        <f>D11-C11</f>
        <v/>
      </c>
      <c r="F11" s="54">
        <f>IF(C11=0,"",D11/C11)</f>
        <v/>
      </c>
      <c r="G11" s="53">
        <f>SUM($C$7:C11)-SUM($D$7:D11)</f>
        <v/>
      </c>
    </row>
    <row r="12">
      <c r="B12" s="17">
        <f>TEXT(DATE(ReportYear,6,1),"mmm yyyy")</f>
        <v/>
      </c>
      <c r="C12" s="53">
        <f>SUMIFS(LCharge,LDate,"&gt;="&amp;DATE(ReportYear,6,1),LDate,"&lt;"&amp;EDATE(DATE(ReportYear,6,1),1))-SUMIFS(LCharge,LType,"Refund",LDate,"&gt;="&amp;DATE(ReportYear,6,1),LDate,"&lt;"&amp;EDATE(DATE(ReportYear,6,1),1))-SUMIFS(LPayment,LType,"Adjustment",LDate,"&gt;="&amp;DATE(ReportYear,6,1),LDate,"&lt;"&amp;EDATE(DATE(ReportYear,6,1),1))-SUMIFS(LPayment,LType,"Void",LDate,"&gt;="&amp;DATE(ReportYear,6,1),LDate,"&lt;"&amp;EDATE(DATE(ReportYear,6,1),1))</f>
        <v/>
      </c>
      <c r="D12" s="53">
        <f>SUMIFS(LPayment,LType,"Payment",LDate,"&gt;="&amp;DATE(ReportYear,6,1),LDate,"&lt;"&amp;EDATE(DATE(ReportYear,6,1),1))-SUMIFS(LCharge,LType,"Refund",LDate,"&gt;="&amp;DATE(ReportYear,6,1),LDate,"&lt;"&amp;EDATE(DATE(ReportYear,6,1),1))</f>
        <v/>
      </c>
      <c r="E12" s="53">
        <f>D12-C12</f>
        <v/>
      </c>
      <c r="F12" s="54">
        <f>IF(C12=0,"",D12/C12)</f>
        <v/>
      </c>
      <c r="G12" s="53">
        <f>SUM($C$7:C12)-SUM($D$7:D12)</f>
        <v/>
      </c>
    </row>
    <row r="13">
      <c r="B13" s="17">
        <f>TEXT(DATE(ReportYear,7,1),"mmm yyyy")</f>
        <v/>
      </c>
      <c r="C13" s="53">
        <f>SUMIFS(LCharge,LDate,"&gt;="&amp;DATE(ReportYear,7,1),LDate,"&lt;"&amp;EDATE(DATE(ReportYear,7,1),1))-SUMIFS(LCharge,LType,"Refund",LDate,"&gt;="&amp;DATE(ReportYear,7,1),LDate,"&lt;"&amp;EDATE(DATE(ReportYear,7,1),1))-SUMIFS(LPayment,LType,"Adjustment",LDate,"&gt;="&amp;DATE(ReportYear,7,1),LDate,"&lt;"&amp;EDATE(DATE(ReportYear,7,1),1))-SUMIFS(LPayment,LType,"Void",LDate,"&gt;="&amp;DATE(ReportYear,7,1),LDate,"&lt;"&amp;EDATE(DATE(ReportYear,7,1),1))</f>
        <v/>
      </c>
      <c r="D13" s="53">
        <f>SUMIFS(LPayment,LType,"Payment",LDate,"&gt;="&amp;DATE(ReportYear,7,1),LDate,"&lt;"&amp;EDATE(DATE(ReportYear,7,1),1))-SUMIFS(LCharge,LType,"Refund",LDate,"&gt;="&amp;DATE(ReportYear,7,1),LDate,"&lt;"&amp;EDATE(DATE(ReportYear,7,1),1))</f>
        <v/>
      </c>
      <c r="E13" s="53">
        <f>D13-C13</f>
        <v/>
      </c>
      <c r="F13" s="54">
        <f>IF(C13=0,"",D13/C13)</f>
        <v/>
      </c>
      <c r="G13" s="53">
        <f>SUM($C$7:C13)-SUM($D$7:D13)</f>
        <v/>
      </c>
    </row>
    <row r="14">
      <c r="B14" s="17">
        <f>TEXT(DATE(ReportYear,8,1),"mmm yyyy")</f>
        <v/>
      </c>
      <c r="C14" s="53">
        <f>SUMIFS(LCharge,LDate,"&gt;="&amp;DATE(ReportYear,8,1),LDate,"&lt;"&amp;EDATE(DATE(ReportYear,8,1),1))-SUMIFS(LCharge,LType,"Refund",LDate,"&gt;="&amp;DATE(ReportYear,8,1),LDate,"&lt;"&amp;EDATE(DATE(ReportYear,8,1),1))-SUMIFS(LPayment,LType,"Adjustment",LDate,"&gt;="&amp;DATE(ReportYear,8,1),LDate,"&lt;"&amp;EDATE(DATE(ReportYear,8,1),1))-SUMIFS(LPayment,LType,"Void",LDate,"&gt;="&amp;DATE(ReportYear,8,1),LDate,"&lt;"&amp;EDATE(DATE(ReportYear,8,1),1))</f>
        <v/>
      </c>
      <c r="D14" s="53">
        <f>SUMIFS(LPayment,LType,"Payment",LDate,"&gt;="&amp;DATE(ReportYear,8,1),LDate,"&lt;"&amp;EDATE(DATE(ReportYear,8,1),1))-SUMIFS(LCharge,LType,"Refund",LDate,"&gt;="&amp;DATE(ReportYear,8,1),LDate,"&lt;"&amp;EDATE(DATE(ReportYear,8,1),1))</f>
        <v/>
      </c>
      <c r="E14" s="53">
        <f>D14-C14</f>
        <v/>
      </c>
      <c r="F14" s="54">
        <f>IF(C14=0,"",D14/C14)</f>
        <v/>
      </c>
      <c r="G14" s="53">
        <f>SUM($C$7:C14)-SUM($D$7:D14)</f>
        <v/>
      </c>
    </row>
    <row r="15">
      <c r="B15" s="17">
        <f>TEXT(DATE(ReportYear,9,1),"mmm yyyy")</f>
        <v/>
      </c>
      <c r="C15" s="53">
        <f>SUMIFS(LCharge,LDate,"&gt;="&amp;DATE(ReportYear,9,1),LDate,"&lt;"&amp;EDATE(DATE(ReportYear,9,1),1))-SUMIFS(LCharge,LType,"Refund",LDate,"&gt;="&amp;DATE(ReportYear,9,1),LDate,"&lt;"&amp;EDATE(DATE(ReportYear,9,1),1))-SUMIFS(LPayment,LType,"Adjustment",LDate,"&gt;="&amp;DATE(ReportYear,9,1),LDate,"&lt;"&amp;EDATE(DATE(ReportYear,9,1),1))-SUMIFS(LPayment,LType,"Void",LDate,"&gt;="&amp;DATE(ReportYear,9,1),LDate,"&lt;"&amp;EDATE(DATE(ReportYear,9,1),1))</f>
        <v/>
      </c>
      <c r="D15" s="53">
        <f>SUMIFS(LPayment,LType,"Payment",LDate,"&gt;="&amp;DATE(ReportYear,9,1),LDate,"&lt;"&amp;EDATE(DATE(ReportYear,9,1),1))-SUMIFS(LCharge,LType,"Refund",LDate,"&gt;="&amp;DATE(ReportYear,9,1),LDate,"&lt;"&amp;EDATE(DATE(ReportYear,9,1),1))</f>
        <v/>
      </c>
      <c r="E15" s="53">
        <f>D15-C15</f>
        <v/>
      </c>
      <c r="F15" s="54">
        <f>IF(C15=0,"",D15/C15)</f>
        <v/>
      </c>
      <c r="G15" s="53">
        <f>SUM($C$7:C15)-SUM($D$7:D15)</f>
        <v/>
      </c>
    </row>
    <row r="16">
      <c r="B16" s="17">
        <f>TEXT(DATE(ReportYear,10,1),"mmm yyyy")</f>
        <v/>
      </c>
      <c r="C16" s="53">
        <f>SUMIFS(LCharge,LDate,"&gt;="&amp;DATE(ReportYear,10,1),LDate,"&lt;"&amp;EDATE(DATE(ReportYear,10,1),1))-SUMIFS(LCharge,LType,"Refund",LDate,"&gt;="&amp;DATE(ReportYear,10,1),LDate,"&lt;"&amp;EDATE(DATE(ReportYear,10,1),1))-SUMIFS(LPayment,LType,"Adjustment",LDate,"&gt;="&amp;DATE(ReportYear,10,1),LDate,"&lt;"&amp;EDATE(DATE(ReportYear,10,1),1))-SUMIFS(LPayment,LType,"Void",LDate,"&gt;="&amp;DATE(ReportYear,10,1),LDate,"&lt;"&amp;EDATE(DATE(ReportYear,10,1),1))</f>
        <v/>
      </c>
      <c r="D16" s="53">
        <f>SUMIFS(LPayment,LType,"Payment",LDate,"&gt;="&amp;DATE(ReportYear,10,1),LDate,"&lt;"&amp;EDATE(DATE(ReportYear,10,1),1))-SUMIFS(LCharge,LType,"Refund",LDate,"&gt;="&amp;DATE(ReportYear,10,1),LDate,"&lt;"&amp;EDATE(DATE(ReportYear,10,1),1))</f>
        <v/>
      </c>
      <c r="E16" s="53">
        <f>D16-C16</f>
        <v/>
      </c>
      <c r="F16" s="54">
        <f>IF(C16=0,"",D16/C16)</f>
        <v/>
      </c>
      <c r="G16" s="53">
        <f>SUM($C$7:C16)-SUM($D$7:D16)</f>
        <v/>
      </c>
    </row>
    <row r="17">
      <c r="B17" s="17">
        <f>TEXT(DATE(ReportYear,11,1),"mmm yyyy")</f>
        <v/>
      </c>
      <c r="C17" s="53">
        <f>SUMIFS(LCharge,LDate,"&gt;="&amp;DATE(ReportYear,11,1),LDate,"&lt;"&amp;EDATE(DATE(ReportYear,11,1),1))-SUMIFS(LCharge,LType,"Refund",LDate,"&gt;="&amp;DATE(ReportYear,11,1),LDate,"&lt;"&amp;EDATE(DATE(ReportYear,11,1),1))-SUMIFS(LPayment,LType,"Adjustment",LDate,"&gt;="&amp;DATE(ReportYear,11,1),LDate,"&lt;"&amp;EDATE(DATE(ReportYear,11,1),1))-SUMIFS(LPayment,LType,"Void",LDate,"&gt;="&amp;DATE(ReportYear,11,1),LDate,"&lt;"&amp;EDATE(DATE(ReportYear,11,1),1))</f>
        <v/>
      </c>
      <c r="D17" s="53">
        <f>SUMIFS(LPayment,LType,"Payment",LDate,"&gt;="&amp;DATE(ReportYear,11,1),LDate,"&lt;"&amp;EDATE(DATE(ReportYear,11,1),1))-SUMIFS(LCharge,LType,"Refund",LDate,"&gt;="&amp;DATE(ReportYear,11,1),LDate,"&lt;"&amp;EDATE(DATE(ReportYear,11,1),1))</f>
        <v/>
      </c>
      <c r="E17" s="53">
        <f>D17-C17</f>
        <v/>
      </c>
      <c r="F17" s="54">
        <f>IF(C17=0,"",D17/C17)</f>
        <v/>
      </c>
      <c r="G17" s="53">
        <f>SUM($C$7:C17)-SUM($D$7:D17)</f>
        <v/>
      </c>
    </row>
    <row r="18">
      <c r="B18" s="17">
        <f>TEXT(DATE(ReportYear,12,1),"mmm yyyy")</f>
        <v/>
      </c>
      <c r="C18" s="53">
        <f>SUMIFS(LCharge,LDate,"&gt;="&amp;DATE(ReportYear,12,1),LDate,"&lt;"&amp;EDATE(DATE(ReportYear,12,1),1))-SUMIFS(LCharge,LType,"Refund",LDate,"&gt;="&amp;DATE(ReportYear,12,1),LDate,"&lt;"&amp;EDATE(DATE(ReportYear,12,1),1))-SUMIFS(LPayment,LType,"Adjustment",LDate,"&gt;="&amp;DATE(ReportYear,12,1),LDate,"&lt;"&amp;EDATE(DATE(ReportYear,12,1),1))-SUMIFS(LPayment,LType,"Void",LDate,"&gt;="&amp;DATE(ReportYear,12,1),LDate,"&lt;"&amp;EDATE(DATE(ReportYear,12,1),1))</f>
        <v/>
      </c>
      <c r="D18" s="53">
        <f>SUMIFS(LPayment,LType,"Payment",LDate,"&gt;="&amp;DATE(ReportYear,12,1),LDate,"&lt;"&amp;EDATE(DATE(ReportYear,12,1),1))-SUMIFS(LCharge,LType,"Refund",LDate,"&gt;="&amp;DATE(ReportYear,12,1),LDate,"&lt;"&amp;EDATE(DATE(ReportYear,12,1),1))</f>
        <v/>
      </c>
      <c r="E18" s="53">
        <f>D18-C18</f>
        <v/>
      </c>
      <c r="F18" s="54">
        <f>IF(C18=0,"",D18/C18)</f>
        <v/>
      </c>
      <c r="G18" s="53">
        <f>SUM($C$7:C18)-SUM($D$7:D18)</f>
        <v/>
      </c>
    </row>
    <row r="19">
      <c r="B19" s="55" t="inlineStr">
        <is>
          <t>Total</t>
        </is>
      </c>
      <c r="C19" s="56">
        <f>SUM(C7:C18)</f>
        <v/>
      </c>
      <c r="D19" s="56">
        <f>SUM(D7:D18)</f>
        <v/>
      </c>
      <c r="E19" s="56">
        <f>SUM(E7:E18)</f>
        <v/>
      </c>
      <c r="F19" s="57">
        <f>IF(C19=0,"",D19/C19)</f>
        <v/>
      </c>
      <c r="G19" s="58" t="inlineStr"/>
    </row>
  </sheetData>
  <conditionalFormatting sqref="E7:E19">
    <cfRule type="expression" priority="1" dxfId="7">
      <formula>E7&lt;0</formula>
    </cfRule>
  </conditionalFormatting>
  <printOptions horizontalCentered="1"/>
  <pageMargins left="0.4" right="0.4" top="1" bottom="1" header="0.5" footer="0.5"/>
  <pageSetup orientation="landscape" fitToHeight="1" fitToWidth="1"/>
  <headerFooter>
    <oddHeader/>
    <oddFooter>&amp;L&amp;8 Landlord's Desk · landlordsdesk.com&amp;R&amp;8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3F3F46"/>
    <outlinePr summaryBelow="1" summaryRight="1"/>
    <pageSetUpPr fitToPage="1"/>
  </sheetPr>
  <dimension ref="A1:I3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22" customWidth="1" min="3" max="3"/>
    <col width="18" customWidth="1" min="4" max="4"/>
    <col width="34" customWidth="1" min="5" max="5"/>
    <col width="14" customWidth="1" min="6" max="6"/>
    <col width="14" customWidth="1" min="7" max="7"/>
    <col width="15" customWidth="1" min="8" max="8"/>
    <col width="3" customWidth="1" min="9" max="9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4" customHeight="1">
      <c r="A2" s="2" t="n"/>
      <c r="B2" s="3" t="inlineStr">
        <is>
          <t>Security Deposits</t>
        </is>
      </c>
      <c r="C2" s="2" t="n"/>
      <c r="D2" s="2" t="n"/>
      <c r="E2" s="2" t="n"/>
      <c r="F2" s="2" t="n"/>
      <c r="G2" s="2" t="n"/>
      <c r="H2" s="2" t="n"/>
      <c r="I2" s="4" t="inlineStr">
        <is>
          <t>Landlord's Desk</t>
        </is>
      </c>
    </row>
    <row r="3" ht="20" customHeight="1">
      <c r="A3" s="2" t="n"/>
      <c r="B3" s="5" t="inlineStr">
        <is>
          <t>Keep deposit money out of the rent ledger. Record what came in, interest, deductions and returns.</t>
        </is>
      </c>
      <c r="C3" s="2" t="n"/>
      <c r="D3" s="2" t="n"/>
      <c r="E3" s="2" t="n"/>
      <c r="F3" s="2" t="n"/>
      <c r="G3" s="2" t="n"/>
      <c r="H3" s="2" t="n"/>
      <c r="I3" s="6" t="inlineStr">
        <is>
          <t>landlordsdesk.com</t>
        </is>
      </c>
    </row>
    <row r="4" ht="6" customHeight="1"/>
    <row r="5">
      <c r="B5" s="24" t="inlineStr">
        <is>
          <t>Deposit rules (interest, receipts, return deadlines) vary by state and city. Check your local rules.</t>
        </is>
      </c>
    </row>
    <row r="6" ht="26" customHeight="1">
      <c r="B6" s="40" t="inlineStr">
        <is>
          <t>Date</t>
        </is>
      </c>
      <c r="C6" s="40" t="inlineStr">
        <is>
          <t>Tenant</t>
        </is>
      </c>
      <c r="D6" s="40" t="inlineStr">
        <is>
          <t>Type</t>
        </is>
      </c>
      <c r="E6" s="40" t="inlineStr">
        <is>
          <t>Description</t>
        </is>
      </c>
      <c r="F6" s="40" t="inlineStr">
        <is>
          <t>Money in</t>
        </is>
      </c>
      <c r="G6" s="40" t="inlineStr">
        <is>
          <t>Money out</t>
        </is>
      </c>
      <c r="H6" s="14" t="inlineStr">
        <is>
          <t>Held for tenant</t>
        </is>
      </c>
    </row>
    <row r="7">
      <c r="B7" s="41" t="n"/>
      <c r="C7" s="18" t="n"/>
      <c r="D7" s="18" t="n"/>
      <c r="E7" s="18" t="n"/>
      <c r="F7" s="37" t="n"/>
      <c r="G7" s="37" t="n"/>
      <c r="H7" s="59">
        <f>IF(C7="","",SUMIFS($F$7:F7,$C$7:C7,C7)-SUMIFS($G$7:G7,$C$7:C7,C7))</f>
        <v/>
      </c>
    </row>
    <row r="8">
      <c r="B8" s="41" t="n"/>
      <c r="C8" s="18" t="n"/>
      <c r="D8" s="18" t="n"/>
      <c r="E8" s="18" t="n"/>
      <c r="F8" s="37" t="n"/>
      <c r="G8" s="37" t="n"/>
      <c r="H8" s="59">
        <f>IF(C8="","",SUMIFS($F$7:F8,$C$7:C8,C8)-SUMIFS($G$7:G8,$C$7:C8,C8))</f>
        <v/>
      </c>
    </row>
    <row r="9">
      <c r="B9" s="41" t="n"/>
      <c r="C9" s="18" t="n"/>
      <c r="D9" s="18" t="n"/>
      <c r="E9" s="18" t="n"/>
      <c r="F9" s="37" t="n"/>
      <c r="G9" s="37" t="n"/>
      <c r="H9" s="59">
        <f>IF(C9="","",SUMIFS($F$7:F9,$C$7:C9,C9)-SUMIFS($G$7:G9,$C$7:C9,C9))</f>
        <v/>
      </c>
    </row>
    <row r="10">
      <c r="B10" s="41" t="n"/>
      <c r="C10" s="18" t="n"/>
      <c r="D10" s="18" t="n"/>
      <c r="E10" s="18" t="n"/>
      <c r="F10" s="37" t="n"/>
      <c r="G10" s="37" t="n"/>
      <c r="H10" s="59">
        <f>IF(C10="","",SUMIFS($F$7:F10,$C$7:C10,C10)-SUMIFS($G$7:G10,$C$7:C10,C10))</f>
        <v/>
      </c>
    </row>
    <row r="11">
      <c r="B11" s="41" t="n"/>
      <c r="C11" s="18" t="n"/>
      <c r="D11" s="18" t="n"/>
      <c r="E11" s="18" t="n"/>
      <c r="F11" s="37" t="n"/>
      <c r="G11" s="37" t="n"/>
      <c r="H11" s="59">
        <f>IF(C11="","",SUMIFS($F$7:F11,$C$7:C11,C11)-SUMIFS($G$7:G11,$C$7:C11,C11))</f>
        <v/>
      </c>
    </row>
    <row r="12">
      <c r="B12" s="41" t="n"/>
      <c r="C12" s="18" t="n"/>
      <c r="D12" s="18" t="n"/>
      <c r="E12" s="18" t="n"/>
      <c r="F12" s="37" t="n"/>
      <c r="G12" s="37" t="n"/>
      <c r="H12" s="59">
        <f>IF(C12="","",SUMIFS($F$7:F12,$C$7:C12,C12)-SUMIFS($G$7:G12,$C$7:C12,C12))</f>
        <v/>
      </c>
    </row>
    <row r="13">
      <c r="B13" s="41" t="n"/>
      <c r="C13" s="18" t="n"/>
      <c r="D13" s="18" t="n"/>
      <c r="E13" s="18" t="n"/>
      <c r="F13" s="37" t="n"/>
      <c r="G13" s="37" t="n"/>
      <c r="H13" s="59">
        <f>IF(C13="","",SUMIFS($F$7:F13,$C$7:C13,C13)-SUMIFS($G$7:G13,$C$7:C13,C13))</f>
        <v/>
      </c>
    </row>
    <row r="14">
      <c r="B14" s="41" t="n"/>
      <c r="C14" s="18" t="n"/>
      <c r="D14" s="18" t="n"/>
      <c r="E14" s="18" t="n"/>
      <c r="F14" s="37" t="n"/>
      <c r="G14" s="37" t="n"/>
      <c r="H14" s="59">
        <f>IF(C14="","",SUMIFS($F$7:F14,$C$7:C14,C14)-SUMIFS($G$7:G14,$C$7:C14,C14))</f>
        <v/>
      </c>
    </row>
    <row r="15">
      <c r="B15" s="41" t="n"/>
      <c r="C15" s="18" t="n"/>
      <c r="D15" s="18" t="n"/>
      <c r="E15" s="18" t="n"/>
      <c r="F15" s="37" t="n"/>
      <c r="G15" s="37" t="n"/>
      <c r="H15" s="59">
        <f>IF(C15="","",SUMIFS($F$7:F15,$C$7:C15,C15)-SUMIFS($G$7:G15,$C$7:C15,C15))</f>
        <v/>
      </c>
    </row>
    <row r="16">
      <c r="B16" s="41" t="n"/>
      <c r="C16" s="18" t="n"/>
      <c r="D16" s="18" t="n"/>
      <c r="E16" s="18" t="n"/>
      <c r="F16" s="37" t="n"/>
      <c r="G16" s="37" t="n"/>
      <c r="H16" s="59">
        <f>IF(C16="","",SUMIFS($F$7:F16,$C$7:C16,C16)-SUMIFS($G$7:G16,$C$7:C16,C16))</f>
        <v/>
      </c>
    </row>
    <row r="17">
      <c r="B17" s="41" t="n"/>
      <c r="C17" s="18" t="n"/>
      <c r="D17" s="18" t="n"/>
      <c r="E17" s="18" t="n"/>
      <c r="F17" s="37" t="n"/>
      <c r="G17" s="37" t="n"/>
      <c r="H17" s="59">
        <f>IF(C17="","",SUMIFS($F$7:F17,$C$7:C17,C17)-SUMIFS($G$7:G17,$C$7:C17,C17))</f>
        <v/>
      </c>
    </row>
    <row r="18">
      <c r="B18" s="41" t="n"/>
      <c r="C18" s="18" t="n"/>
      <c r="D18" s="18" t="n"/>
      <c r="E18" s="18" t="n"/>
      <c r="F18" s="37" t="n"/>
      <c r="G18" s="37" t="n"/>
      <c r="H18" s="59">
        <f>IF(C18="","",SUMIFS($F$7:F18,$C$7:C18,C18)-SUMIFS($G$7:G18,$C$7:C18,C18))</f>
        <v/>
      </c>
    </row>
    <row r="19">
      <c r="B19" s="41" t="n"/>
      <c r="C19" s="18" t="n"/>
      <c r="D19" s="18" t="n"/>
      <c r="E19" s="18" t="n"/>
      <c r="F19" s="37" t="n"/>
      <c r="G19" s="37" t="n"/>
      <c r="H19" s="59">
        <f>IF(C19="","",SUMIFS($F$7:F19,$C$7:C19,C19)-SUMIFS($G$7:G19,$C$7:C19,C19))</f>
        <v/>
      </c>
    </row>
    <row r="20">
      <c r="B20" s="41" t="n"/>
      <c r="C20" s="18" t="n"/>
      <c r="D20" s="18" t="n"/>
      <c r="E20" s="18" t="n"/>
      <c r="F20" s="37" t="n"/>
      <c r="G20" s="37" t="n"/>
      <c r="H20" s="59">
        <f>IF(C20="","",SUMIFS($F$7:F20,$C$7:C20,C20)-SUMIFS($G$7:G20,$C$7:C20,C20))</f>
        <v/>
      </c>
    </row>
    <row r="21">
      <c r="B21" s="41" t="n"/>
      <c r="C21" s="18" t="n"/>
      <c r="D21" s="18" t="n"/>
      <c r="E21" s="18" t="n"/>
      <c r="F21" s="37" t="n"/>
      <c r="G21" s="37" t="n"/>
      <c r="H21" s="59">
        <f>IF(C21="","",SUMIFS($F$7:F21,$C$7:C21,C21)-SUMIFS($G$7:G21,$C$7:C21,C21))</f>
        <v/>
      </c>
    </row>
    <row r="22">
      <c r="B22" s="41" t="n"/>
      <c r="C22" s="18" t="n"/>
      <c r="D22" s="18" t="n"/>
      <c r="E22" s="18" t="n"/>
      <c r="F22" s="37" t="n"/>
      <c r="G22" s="37" t="n"/>
      <c r="H22" s="59">
        <f>IF(C22="","",SUMIFS($F$7:F22,$C$7:C22,C22)-SUMIFS($G$7:G22,$C$7:C22,C22))</f>
        <v/>
      </c>
    </row>
    <row r="23">
      <c r="B23" s="41" t="n"/>
      <c r="C23" s="18" t="n"/>
      <c r="D23" s="18" t="n"/>
      <c r="E23" s="18" t="n"/>
      <c r="F23" s="37" t="n"/>
      <c r="G23" s="37" t="n"/>
      <c r="H23" s="59">
        <f>IF(C23="","",SUMIFS($F$7:F23,$C$7:C23,C23)-SUMIFS($G$7:G23,$C$7:C23,C23))</f>
        <v/>
      </c>
    </row>
    <row r="24">
      <c r="B24" s="41" t="n"/>
      <c r="C24" s="18" t="n"/>
      <c r="D24" s="18" t="n"/>
      <c r="E24" s="18" t="n"/>
      <c r="F24" s="37" t="n"/>
      <c r="G24" s="37" t="n"/>
      <c r="H24" s="59">
        <f>IF(C24="","",SUMIFS($F$7:F24,$C$7:C24,C24)-SUMIFS($G$7:G24,$C$7:C24,C24))</f>
        <v/>
      </c>
    </row>
    <row r="25">
      <c r="B25" s="41" t="n"/>
      <c r="C25" s="18" t="n"/>
      <c r="D25" s="18" t="n"/>
      <c r="E25" s="18" t="n"/>
      <c r="F25" s="37" t="n"/>
      <c r="G25" s="37" t="n"/>
      <c r="H25" s="59">
        <f>IF(C25="","",SUMIFS($F$7:F25,$C$7:C25,C25)-SUMIFS($G$7:G25,$C$7:C25,C25))</f>
        <v/>
      </c>
    </row>
    <row r="26">
      <c r="B26" s="41" t="n"/>
      <c r="C26" s="18" t="n"/>
      <c r="D26" s="18" t="n"/>
      <c r="E26" s="18" t="n"/>
      <c r="F26" s="37" t="n"/>
      <c r="G26" s="37" t="n"/>
      <c r="H26" s="59">
        <f>IF(C26="","",SUMIFS($F$7:F26,$C$7:C26,C26)-SUMIFS($G$7:G26,$C$7:C26,C26))</f>
        <v/>
      </c>
    </row>
    <row r="27">
      <c r="B27" s="41" t="n"/>
      <c r="C27" s="18" t="n"/>
      <c r="D27" s="18" t="n"/>
      <c r="E27" s="18" t="n"/>
      <c r="F27" s="37" t="n"/>
      <c r="G27" s="37" t="n"/>
      <c r="H27" s="59">
        <f>IF(C27="","",SUMIFS($F$7:F27,$C$7:C27,C27)-SUMIFS($G$7:G27,$C$7:C27,C27))</f>
        <v/>
      </c>
    </row>
    <row r="28">
      <c r="B28" s="41" t="n"/>
      <c r="C28" s="18" t="n"/>
      <c r="D28" s="18" t="n"/>
      <c r="E28" s="18" t="n"/>
      <c r="F28" s="37" t="n"/>
      <c r="G28" s="37" t="n"/>
      <c r="H28" s="59">
        <f>IF(C28="","",SUMIFS($F$7:F28,$C$7:C28,C28)-SUMIFS($G$7:G28,$C$7:C28,C28))</f>
        <v/>
      </c>
    </row>
    <row r="29">
      <c r="B29" s="41" t="n"/>
      <c r="C29" s="18" t="n"/>
      <c r="D29" s="18" t="n"/>
      <c r="E29" s="18" t="n"/>
      <c r="F29" s="37" t="n"/>
      <c r="G29" s="37" t="n"/>
      <c r="H29" s="59">
        <f>IF(C29="","",SUMIFS($F$7:F29,$C$7:C29,C29)-SUMIFS($G$7:G29,$C$7:C29,C29))</f>
        <v/>
      </c>
    </row>
    <row r="30">
      <c r="B30" s="41" t="n"/>
      <c r="C30" s="18" t="n"/>
      <c r="D30" s="18" t="n"/>
      <c r="E30" s="18" t="n"/>
      <c r="F30" s="37" t="n"/>
      <c r="G30" s="37" t="n"/>
      <c r="H30" s="59">
        <f>IF(C30="","",SUMIFS($F$7:F30,$C$7:C30,C30)-SUMIFS($G$7:G30,$C$7:C30,C30))</f>
        <v/>
      </c>
    </row>
    <row r="31">
      <c r="B31" s="41" t="n"/>
      <c r="C31" s="18" t="n"/>
      <c r="D31" s="18" t="n"/>
      <c r="E31" s="18" t="n"/>
      <c r="F31" s="37" t="n"/>
      <c r="G31" s="37" t="n"/>
      <c r="H31" s="59">
        <f>IF(C31="","",SUMIFS($F$7:F31,$C$7:C31,C31)-SUMIFS($G$7:G31,$C$7:C31,C31))</f>
        <v/>
      </c>
    </row>
    <row r="32">
      <c r="B32" s="41" t="n"/>
      <c r="C32" s="18" t="n"/>
      <c r="D32" s="18" t="n"/>
      <c r="E32" s="18" t="n"/>
      <c r="F32" s="37" t="n"/>
      <c r="G32" s="37" t="n"/>
      <c r="H32" s="59">
        <f>IF(C32="","",SUMIFS($F$7:F32,$C$7:C32,C32)-SUMIFS($G$7:G32,$C$7:C32,C32))</f>
        <v/>
      </c>
    </row>
    <row r="33">
      <c r="B33" s="41" t="n"/>
      <c r="C33" s="18" t="n"/>
      <c r="D33" s="18" t="n"/>
      <c r="E33" s="18" t="n"/>
      <c r="F33" s="37" t="n"/>
      <c r="G33" s="37" t="n"/>
      <c r="H33" s="59">
        <f>IF(C33="","",SUMIFS($F$7:F33,$C$7:C33,C33)-SUMIFS($G$7:G33,$C$7:C33,C33))</f>
        <v/>
      </c>
    </row>
    <row r="34">
      <c r="B34" s="41" t="n"/>
      <c r="C34" s="18" t="n"/>
      <c r="D34" s="18" t="n"/>
      <c r="E34" s="18" t="n"/>
      <c r="F34" s="37" t="n"/>
      <c r="G34" s="37" t="n"/>
      <c r="H34" s="59">
        <f>IF(C34="","",SUMIFS($F$7:F34,$C$7:C34,C34)-SUMIFS($G$7:G34,$C$7:C34,C34))</f>
        <v/>
      </c>
    </row>
    <row r="35">
      <c r="B35" s="41" t="n"/>
      <c r="C35" s="18" t="n"/>
      <c r="D35" s="18" t="n"/>
      <c r="E35" s="18" t="n"/>
      <c r="F35" s="37" t="n"/>
      <c r="G35" s="37" t="n"/>
      <c r="H35" s="59">
        <f>IF(C35="","",SUMIFS($F$7:F35,$C$7:C35,C35)-SUMIFS($G$7:G35,$C$7:C35,C35))</f>
        <v/>
      </c>
    </row>
    <row r="36">
      <c r="B36" s="41" t="n"/>
      <c r="C36" s="18" t="n"/>
      <c r="D36" s="18" t="n"/>
      <c r="E36" s="18" t="n"/>
      <c r="F36" s="37" t="n"/>
      <c r="G36" s="37" t="n"/>
      <c r="H36" s="59">
        <f>IF(C36="","",SUMIFS($F$7:F36,$C$7:C36,C36)-SUMIFS($G$7:G36,$C$7:C36,C36))</f>
        <v/>
      </c>
    </row>
    <row r="37">
      <c r="B37" s="41" t="n"/>
      <c r="C37" s="18" t="n"/>
      <c r="D37" s="18" t="n"/>
      <c r="E37" s="18" t="n"/>
      <c r="F37" s="37" t="n"/>
      <c r="G37" s="37" t="n"/>
      <c r="H37" s="59">
        <f>IF(C37="","",SUMIFS($F$7:F37,$C$7:C37,C37)-SUMIFS($G$7:G37,$C$7:C37,C37))</f>
        <v/>
      </c>
    </row>
    <row r="38">
      <c r="B38" s="41" t="n"/>
      <c r="C38" s="18" t="n"/>
      <c r="D38" s="18" t="n"/>
      <c r="E38" s="18" t="n"/>
      <c r="F38" s="37" t="n"/>
      <c r="G38" s="37" t="n"/>
      <c r="H38" s="59">
        <f>IF(C38="","",SUMIFS($F$7:F38,$C$7:C38,C38)-SUMIFS($G$7:G38,$C$7:C38,C38))</f>
        <v/>
      </c>
    </row>
    <row r="39">
      <c r="B39" s="41" t="n"/>
      <c r="C39" s="18" t="n"/>
      <c r="D39" s="18" t="n"/>
      <c r="E39" s="18" t="n"/>
      <c r="F39" s="37" t="n"/>
      <c r="G39" s="37" t="n"/>
      <c r="H39" s="59">
        <f>IF(C39="","",SUMIFS($F$7:F39,$C$7:C39,C39)-SUMIFS($G$7:G39,$C$7:C39,C39))</f>
        <v/>
      </c>
    </row>
    <row r="40">
      <c r="B40" s="41" t="n"/>
      <c r="C40" s="18" t="n"/>
      <c r="D40" s="18" t="n"/>
      <c r="E40" s="18" t="n"/>
      <c r="F40" s="37" t="n"/>
      <c r="G40" s="37" t="n"/>
      <c r="H40" s="59">
        <f>IF(C40="","",SUMIFS($F$7:F40,$C$7:C40,C40)-SUMIFS($G$7:G40,$C$7:C40,C40))</f>
        <v/>
      </c>
    </row>
    <row r="41">
      <c r="B41" s="41" t="n"/>
      <c r="C41" s="18" t="n"/>
      <c r="D41" s="18" t="n"/>
      <c r="E41" s="18" t="n"/>
      <c r="F41" s="37" t="n"/>
      <c r="G41" s="37" t="n"/>
      <c r="H41" s="59">
        <f>IF(C41="","",SUMIFS($F$7:F41,$C$7:C41,C41)-SUMIFS($G$7:G41,$C$7:C41,C41))</f>
        <v/>
      </c>
    </row>
    <row r="42">
      <c r="B42" s="41" t="n"/>
      <c r="C42" s="18" t="n"/>
      <c r="D42" s="18" t="n"/>
      <c r="E42" s="18" t="n"/>
      <c r="F42" s="37" t="n"/>
      <c r="G42" s="37" t="n"/>
      <c r="H42" s="59">
        <f>IF(C42="","",SUMIFS($F$7:F42,$C$7:C42,C42)-SUMIFS($G$7:G42,$C$7:C42,C42))</f>
        <v/>
      </c>
    </row>
    <row r="43">
      <c r="B43" s="41" t="n"/>
      <c r="C43" s="18" t="n"/>
      <c r="D43" s="18" t="n"/>
      <c r="E43" s="18" t="n"/>
      <c r="F43" s="37" t="n"/>
      <c r="G43" s="37" t="n"/>
      <c r="H43" s="59">
        <f>IF(C43="","",SUMIFS($F$7:F43,$C$7:C43,C43)-SUMIFS($G$7:G43,$C$7:C43,C43))</f>
        <v/>
      </c>
    </row>
    <row r="44">
      <c r="B44" s="41" t="n"/>
      <c r="C44" s="18" t="n"/>
      <c r="D44" s="18" t="n"/>
      <c r="E44" s="18" t="n"/>
      <c r="F44" s="37" t="n"/>
      <c r="G44" s="37" t="n"/>
      <c r="H44" s="59">
        <f>IF(C44="","",SUMIFS($F$7:F44,$C$7:C44,C44)-SUMIFS($G$7:G44,$C$7:C44,C44))</f>
        <v/>
      </c>
    </row>
    <row r="45">
      <c r="B45" s="41" t="n"/>
      <c r="C45" s="18" t="n"/>
      <c r="D45" s="18" t="n"/>
      <c r="E45" s="18" t="n"/>
      <c r="F45" s="37" t="n"/>
      <c r="G45" s="37" t="n"/>
      <c r="H45" s="59">
        <f>IF(C45="","",SUMIFS($F$7:F45,$C$7:C45,C45)-SUMIFS($G$7:G45,$C$7:C45,C45))</f>
        <v/>
      </c>
    </row>
    <row r="46">
      <c r="B46" s="41" t="n"/>
      <c r="C46" s="18" t="n"/>
      <c r="D46" s="18" t="n"/>
      <c r="E46" s="18" t="n"/>
      <c r="F46" s="37" t="n"/>
      <c r="G46" s="37" t="n"/>
      <c r="H46" s="59">
        <f>IF(C46="","",SUMIFS($F$7:F46,$C$7:C46,C46)-SUMIFS($G$7:G46,$C$7:C46,C46))</f>
        <v/>
      </c>
    </row>
    <row r="47">
      <c r="B47" s="41" t="n"/>
      <c r="C47" s="18" t="n"/>
      <c r="D47" s="18" t="n"/>
      <c r="E47" s="18" t="n"/>
      <c r="F47" s="37" t="n"/>
      <c r="G47" s="37" t="n"/>
      <c r="H47" s="59">
        <f>IF(C47="","",SUMIFS($F$7:F47,$C$7:C47,C47)-SUMIFS($G$7:G47,$C$7:C47,C47))</f>
        <v/>
      </c>
    </row>
    <row r="48">
      <c r="B48" s="41" t="n"/>
      <c r="C48" s="18" t="n"/>
      <c r="D48" s="18" t="n"/>
      <c r="E48" s="18" t="n"/>
      <c r="F48" s="37" t="n"/>
      <c r="G48" s="37" t="n"/>
      <c r="H48" s="59">
        <f>IF(C48="","",SUMIFS($F$7:F48,$C$7:C48,C48)-SUMIFS($G$7:G48,$C$7:C48,C48))</f>
        <v/>
      </c>
    </row>
    <row r="49">
      <c r="B49" s="41" t="n"/>
      <c r="C49" s="18" t="n"/>
      <c r="D49" s="18" t="n"/>
      <c r="E49" s="18" t="n"/>
      <c r="F49" s="37" t="n"/>
      <c r="G49" s="37" t="n"/>
      <c r="H49" s="59">
        <f>IF(C49="","",SUMIFS($F$7:F49,$C$7:C49,C49)-SUMIFS($G$7:G49,$C$7:C49,C49))</f>
        <v/>
      </c>
    </row>
    <row r="50">
      <c r="B50" s="41" t="n"/>
      <c r="C50" s="18" t="n"/>
      <c r="D50" s="18" t="n"/>
      <c r="E50" s="18" t="n"/>
      <c r="F50" s="37" t="n"/>
      <c r="G50" s="37" t="n"/>
      <c r="H50" s="59">
        <f>IF(C50="","",SUMIFS($F$7:F50,$C$7:C50,C50)-SUMIFS($G$7:G50,$C$7:C50,C50))</f>
        <v/>
      </c>
    </row>
    <row r="51">
      <c r="B51" s="41" t="n"/>
      <c r="C51" s="18" t="n"/>
      <c r="D51" s="18" t="n"/>
      <c r="E51" s="18" t="n"/>
      <c r="F51" s="37" t="n"/>
      <c r="G51" s="37" t="n"/>
      <c r="H51" s="59">
        <f>IF(C51="","",SUMIFS($F$7:F51,$C$7:C51,C51)-SUMIFS($G$7:G51,$C$7:C51,C51))</f>
        <v/>
      </c>
    </row>
    <row r="52">
      <c r="B52" s="41" t="n"/>
      <c r="C52" s="18" t="n"/>
      <c r="D52" s="18" t="n"/>
      <c r="E52" s="18" t="n"/>
      <c r="F52" s="37" t="n"/>
      <c r="G52" s="37" t="n"/>
      <c r="H52" s="59">
        <f>IF(C52="","",SUMIFS($F$7:F52,$C$7:C52,C52)-SUMIFS($G$7:G52,$C$7:C52,C52))</f>
        <v/>
      </c>
    </row>
    <row r="53">
      <c r="B53" s="41" t="n"/>
      <c r="C53" s="18" t="n"/>
      <c r="D53" s="18" t="n"/>
      <c r="E53" s="18" t="n"/>
      <c r="F53" s="37" t="n"/>
      <c r="G53" s="37" t="n"/>
      <c r="H53" s="59">
        <f>IF(C53="","",SUMIFS($F$7:F53,$C$7:C53,C53)-SUMIFS($G$7:G53,$C$7:C53,C53))</f>
        <v/>
      </c>
    </row>
    <row r="54">
      <c r="B54" s="41" t="n"/>
      <c r="C54" s="18" t="n"/>
      <c r="D54" s="18" t="n"/>
      <c r="E54" s="18" t="n"/>
      <c r="F54" s="37" t="n"/>
      <c r="G54" s="37" t="n"/>
      <c r="H54" s="59">
        <f>IF(C54="","",SUMIFS($F$7:F54,$C$7:C54,C54)-SUMIFS($G$7:G54,$C$7:C54,C54))</f>
        <v/>
      </c>
    </row>
    <row r="55">
      <c r="B55" s="41" t="n"/>
      <c r="C55" s="18" t="n"/>
      <c r="D55" s="18" t="n"/>
      <c r="E55" s="18" t="n"/>
      <c r="F55" s="37" t="n"/>
      <c r="G55" s="37" t="n"/>
      <c r="H55" s="59">
        <f>IF(C55="","",SUMIFS($F$7:F55,$C$7:C55,C55)-SUMIFS($G$7:G55,$C$7:C55,C55))</f>
        <v/>
      </c>
    </row>
    <row r="56">
      <c r="B56" s="41" t="n"/>
      <c r="C56" s="18" t="n"/>
      <c r="D56" s="18" t="n"/>
      <c r="E56" s="18" t="n"/>
      <c r="F56" s="37" t="n"/>
      <c r="G56" s="37" t="n"/>
      <c r="H56" s="59">
        <f>IF(C56="","",SUMIFS($F$7:F56,$C$7:C56,C56)-SUMIFS($G$7:G56,$C$7:C56,C56))</f>
        <v/>
      </c>
    </row>
    <row r="57">
      <c r="B57" s="41" t="n"/>
      <c r="C57" s="18" t="n"/>
      <c r="D57" s="18" t="n"/>
      <c r="E57" s="18" t="n"/>
      <c r="F57" s="37" t="n"/>
      <c r="G57" s="37" t="n"/>
      <c r="H57" s="59">
        <f>IF(C57="","",SUMIFS($F$7:F57,$C$7:C57,C57)-SUMIFS($G$7:G57,$C$7:C57,C57))</f>
        <v/>
      </c>
    </row>
    <row r="58">
      <c r="B58" s="41" t="n"/>
      <c r="C58" s="18" t="n"/>
      <c r="D58" s="18" t="n"/>
      <c r="E58" s="18" t="n"/>
      <c r="F58" s="37" t="n"/>
      <c r="G58" s="37" t="n"/>
      <c r="H58" s="59">
        <f>IF(C58="","",SUMIFS($F$7:F58,$C$7:C58,C58)-SUMIFS($G$7:G58,$C$7:C58,C58))</f>
        <v/>
      </c>
    </row>
    <row r="59">
      <c r="B59" s="41" t="n"/>
      <c r="C59" s="18" t="n"/>
      <c r="D59" s="18" t="n"/>
      <c r="E59" s="18" t="n"/>
      <c r="F59" s="37" t="n"/>
      <c r="G59" s="37" t="n"/>
      <c r="H59" s="59">
        <f>IF(C59="","",SUMIFS($F$7:F59,$C$7:C59,C59)-SUMIFS($G$7:G59,$C$7:C59,C59))</f>
        <v/>
      </c>
    </row>
    <row r="60">
      <c r="B60" s="41" t="n"/>
      <c r="C60" s="18" t="n"/>
      <c r="D60" s="18" t="n"/>
      <c r="E60" s="18" t="n"/>
      <c r="F60" s="37" t="n"/>
      <c r="G60" s="37" t="n"/>
      <c r="H60" s="59">
        <f>IF(C60="","",SUMIFS($F$7:F60,$C$7:C60,C60)-SUMIFS($G$7:G60,$C$7:C60,C60))</f>
        <v/>
      </c>
    </row>
    <row r="61">
      <c r="B61" s="41" t="n"/>
      <c r="C61" s="18" t="n"/>
      <c r="D61" s="18" t="n"/>
      <c r="E61" s="18" t="n"/>
      <c r="F61" s="37" t="n"/>
      <c r="G61" s="37" t="n"/>
      <c r="H61" s="59">
        <f>IF(C61="","",SUMIFS($F$7:F61,$C$7:C61,C61)-SUMIFS($G$7:G61,$C$7:C61,C61))</f>
        <v/>
      </c>
    </row>
    <row r="62">
      <c r="B62" s="41" t="n"/>
      <c r="C62" s="18" t="n"/>
      <c r="D62" s="18" t="n"/>
      <c r="E62" s="18" t="n"/>
      <c r="F62" s="37" t="n"/>
      <c r="G62" s="37" t="n"/>
      <c r="H62" s="59">
        <f>IF(C62="","",SUMIFS($F$7:F62,$C$7:C62,C62)-SUMIFS($G$7:G62,$C$7:C62,C62))</f>
        <v/>
      </c>
    </row>
    <row r="63">
      <c r="B63" s="41" t="n"/>
      <c r="C63" s="18" t="n"/>
      <c r="D63" s="18" t="n"/>
      <c r="E63" s="18" t="n"/>
      <c r="F63" s="37" t="n"/>
      <c r="G63" s="37" t="n"/>
      <c r="H63" s="59">
        <f>IF(C63="","",SUMIFS($F$7:F63,$C$7:C63,C63)-SUMIFS($G$7:G63,$C$7:C63,C63))</f>
        <v/>
      </c>
    </row>
    <row r="64">
      <c r="B64" s="41" t="n"/>
      <c r="C64" s="18" t="n"/>
      <c r="D64" s="18" t="n"/>
      <c r="E64" s="18" t="n"/>
      <c r="F64" s="37" t="n"/>
      <c r="G64" s="37" t="n"/>
      <c r="H64" s="59">
        <f>IF(C64="","",SUMIFS($F$7:F64,$C$7:C64,C64)-SUMIFS($G$7:G64,$C$7:C64,C64))</f>
        <v/>
      </c>
    </row>
    <row r="65">
      <c r="B65" s="41" t="n"/>
      <c r="C65" s="18" t="n"/>
      <c r="D65" s="18" t="n"/>
      <c r="E65" s="18" t="n"/>
      <c r="F65" s="37" t="n"/>
      <c r="G65" s="37" t="n"/>
      <c r="H65" s="59">
        <f>IF(C65="","",SUMIFS($F$7:F65,$C$7:C65,C65)-SUMIFS($G$7:G65,$C$7:C65,C65))</f>
        <v/>
      </c>
    </row>
    <row r="66">
      <c r="B66" s="41" t="n"/>
      <c r="C66" s="18" t="n"/>
      <c r="D66" s="18" t="n"/>
      <c r="E66" s="18" t="n"/>
      <c r="F66" s="37" t="n"/>
      <c r="G66" s="37" t="n"/>
      <c r="H66" s="59">
        <f>IF(C66="","",SUMIFS($F$7:F66,$C$7:C66,C66)-SUMIFS($G$7:G66,$C$7:C66,C66))</f>
        <v/>
      </c>
    </row>
    <row r="67">
      <c r="B67" s="41" t="n"/>
      <c r="C67" s="18" t="n"/>
      <c r="D67" s="18" t="n"/>
      <c r="E67" s="18" t="n"/>
      <c r="F67" s="37" t="n"/>
      <c r="G67" s="37" t="n"/>
      <c r="H67" s="59">
        <f>IF(C67="","",SUMIFS($F$7:F67,$C$7:C67,C67)-SUMIFS($G$7:G67,$C$7:C67,C67))</f>
        <v/>
      </c>
    </row>
    <row r="68">
      <c r="B68" s="41" t="n"/>
      <c r="C68" s="18" t="n"/>
      <c r="D68" s="18" t="n"/>
      <c r="E68" s="18" t="n"/>
      <c r="F68" s="37" t="n"/>
      <c r="G68" s="37" t="n"/>
      <c r="H68" s="59">
        <f>IF(C68="","",SUMIFS($F$7:F68,$C$7:C68,C68)-SUMIFS($G$7:G68,$C$7:C68,C68))</f>
        <v/>
      </c>
    </row>
    <row r="69">
      <c r="B69" s="41" t="n"/>
      <c r="C69" s="18" t="n"/>
      <c r="D69" s="18" t="n"/>
      <c r="E69" s="18" t="n"/>
      <c r="F69" s="37" t="n"/>
      <c r="G69" s="37" t="n"/>
      <c r="H69" s="59">
        <f>IF(C69="","",SUMIFS($F$7:F69,$C$7:C69,C69)-SUMIFS($G$7:G69,$C$7:C69,C69))</f>
        <v/>
      </c>
    </row>
    <row r="70">
      <c r="B70" s="41" t="n"/>
      <c r="C70" s="18" t="n"/>
      <c r="D70" s="18" t="n"/>
      <c r="E70" s="18" t="n"/>
      <c r="F70" s="37" t="n"/>
      <c r="G70" s="37" t="n"/>
      <c r="H70" s="59">
        <f>IF(C70="","",SUMIFS($F$7:F70,$C$7:C70,C70)-SUMIFS($G$7:G70,$C$7:C70,C70))</f>
        <v/>
      </c>
    </row>
    <row r="71">
      <c r="B71" s="41" t="n"/>
      <c r="C71" s="18" t="n"/>
      <c r="D71" s="18" t="n"/>
      <c r="E71" s="18" t="n"/>
      <c r="F71" s="37" t="n"/>
      <c r="G71" s="37" t="n"/>
      <c r="H71" s="59">
        <f>IF(C71="","",SUMIFS($F$7:F71,$C$7:C71,C71)-SUMIFS($G$7:G71,$C$7:C71,C71))</f>
        <v/>
      </c>
    </row>
    <row r="72">
      <c r="B72" s="41" t="n"/>
      <c r="C72" s="18" t="n"/>
      <c r="D72" s="18" t="n"/>
      <c r="E72" s="18" t="n"/>
      <c r="F72" s="37" t="n"/>
      <c r="G72" s="37" t="n"/>
      <c r="H72" s="59">
        <f>IF(C72="","",SUMIFS($F$7:F72,$C$7:C72,C72)-SUMIFS($G$7:G72,$C$7:C72,C72))</f>
        <v/>
      </c>
    </row>
    <row r="73">
      <c r="B73" s="41" t="n"/>
      <c r="C73" s="18" t="n"/>
      <c r="D73" s="18" t="n"/>
      <c r="E73" s="18" t="n"/>
      <c r="F73" s="37" t="n"/>
      <c r="G73" s="37" t="n"/>
      <c r="H73" s="59">
        <f>IF(C73="","",SUMIFS($F$7:F73,$C$7:C73,C73)-SUMIFS($G$7:G73,$C$7:C73,C73))</f>
        <v/>
      </c>
    </row>
    <row r="74">
      <c r="B74" s="41" t="n"/>
      <c r="C74" s="18" t="n"/>
      <c r="D74" s="18" t="n"/>
      <c r="E74" s="18" t="n"/>
      <c r="F74" s="37" t="n"/>
      <c r="G74" s="37" t="n"/>
      <c r="H74" s="59">
        <f>IF(C74="","",SUMIFS($F$7:F74,$C$7:C74,C74)-SUMIFS($G$7:G74,$C$7:C74,C74))</f>
        <v/>
      </c>
    </row>
    <row r="75">
      <c r="B75" s="41" t="n"/>
      <c r="C75" s="18" t="n"/>
      <c r="D75" s="18" t="n"/>
      <c r="E75" s="18" t="n"/>
      <c r="F75" s="37" t="n"/>
      <c r="G75" s="37" t="n"/>
      <c r="H75" s="59">
        <f>IF(C75="","",SUMIFS($F$7:F75,$C$7:C75,C75)-SUMIFS($G$7:G75,$C$7:C75,C75))</f>
        <v/>
      </c>
    </row>
    <row r="76">
      <c r="B76" s="41" t="n"/>
      <c r="C76" s="18" t="n"/>
      <c r="D76" s="18" t="n"/>
      <c r="E76" s="18" t="n"/>
      <c r="F76" s="37" t="n"/>
      <c r="G76" s="37" t="n"/>
      <c r="H76" s="59">
        <f>IF(C76="","",SUMIFS($F$7:F76,$C$7:C76,C76)-SUMIFS($G$7:G76,$C$7:C76,C76))</f>
        <v/>
      </c>
    </row>
    <row r="77">
      <c r="B77" s="41" t="n"/>
      <c r="C77" s="18" t="n"/>
      <c r="D77" s="18" t="n"/>
      <c r="E77" s="18" t="n"/>
      <c r="F77" s="37" t="n"/>
      <c r="G77" s="37" t="n"/>
      <c r="H77" s="59">
        <f>IF(C77="","",SUMIFS($F$7:F77,$C$7:C77,C77)-SUMIFS($G$7:G77,$C$7:C77,C77))</f>
        <v/>
      </c>
    </row>
    <row r="78">
      <c r="B78" s="41" t="n"/>
      <c r="C78" s="18" t="n"/>
      <c r="D78" s="18" t="n"/>
      <c r="E78" s="18" t="n"/>
      <c r="F78" s="37" t="n"/>
      <c r="G78" s="37" t="n"/>
      <c r="H78" s="59">
        <f>IF(C78="","",SUMIFS($F$7:F78,$C$7:C78,C78)-SUMIFS($G$7:G78,$C$7:C78,C78))</f>
        <v/>
      </c>
    </row>
    <row r="79">
      <c r="B79" s="41" t="n"/>
      <c r="C79" s="18" t="n"/>
      <c r="D79" s="18" t="n"/>
      <c r="E79" s="18" t="n"/>
      <c r="F79" s="37" t="n"/>
      <c r="G79" s="37" t="n"/>
      <c r="H79" s="59">
        <f>IF(C79="","",SUMIFS($F$7:F79,$C$7:C79,C79)-SUMIFS($G$7:G79,$C$7:C79,C79))</f>
        <v/>
      </c>
    </row>
    <row r="80">
      <c r="B80" s="41" t="n"/>
      <c r="C80" s="18" t="n"/>
      <c r="D80" s="18" t="n"/>
      <c r="E80" s="18" t="n"/>
      <c r="F80" s="37" t="n"/>
      <c r="G80" s="37" t="n"/>
      <c r="H80" s="59">
        <f>IF(C80="","",SUMIFS($F$7:F80,$C$7:C80,C80)-SUMIFS($G$7:G80,$C$7:C80,C80))</f>
        <v/>
      </c>
    </row>
    <row r="81">
      <c r="B81" s="41" t="n"/>
      <c r="C81" s="18" t="n"/>
      <c r="D81" s="18" t="n"/>
      <c r="E81" s="18" t="n"/>
      <c r="F81" s="37" t="n"/>
      <c r="G81" s="37" t="n"/>
      <c r="H81" s="59">
        <f>IF(C81="","",SUMIFS($F$7:F81,$C$7:C81,C81)-SUMIFS($G$7:G81,$C$7:C81,C81))</f>
        <v/>
      </c>
    </row>
    <row r="82">
      <c r="B82" s="41" t="n"/>
      <c r="C82" s="18" t="n"/>
      <c r="D82" s="18" t="n"/>
      <c r="E82" s="18" t="n"/>
      <c r="F82" s="37" t="n"/>
      <c r="G82" s="37" t="n"/>
      <c r="H82" s="59">
        <f>IF(C82="","",SUMIFS($F$7:F82,$C$7:C82,C82)-SUMIFS($G$7:G82,$C$7:C82,C82))</f>
        <v/>
      </c>
    </row>
    <row r="83">
      <c r="B83" s="41" t="n"/>
      <c r="C83" s="18" t="n"/>
      <c r="D83" s="18" t="n"/>
      <c r="E83" s="18" t="n"/>
      <c r="F83" s="37" t="n"/>
      <c r="G83" s="37" t="n"/>
      <c r="H83" s="59">
        <f>IF(C83="","",SUMIFS($F$7:F83,$C$7:C83,C83)-SUMIFS($G$7:G83,$C$7:C83,C83))</f>
        <v/>
      </c>
    </row>
    <row r="84">
      <c r="B84" s="41" t="n"/>
      <c r="C84" s="18" t="n"/>
      <c r="D84" s="18" t="n"/>
      <c r="E84" s="18" t="n"/>
      <c r="F84" s="37" t="n"/>
      <c r="G84" s="37" t="n"/>
      <c r="H84" s="59">
        <f>IF(C84="","",SUMIFS($F$7:F84,$C$7:C84,C84)-SUMIFS($G$7:G84,$C$7:C84,C84))</f>
        <v/>
      </c>
    </row>
    <row r="85">
      <c r="B85" s="41" t="n"/>
      <c r="C85" s="18" t="n"/>
      <c r="D85" s="18" t="n"/>
      <c r="E85" s="18" t="n"/>
      <c r="F85" s="37" t="n"/>
      <c r="G85" s="37" t="n"/>
      <c r="H85" s="59">
        <f>IF(C85="","",SUMIFS($F$7:F85,$C$7:C85,C85)-SUMIFS($G$7:G85,$C$7:C85,C85))</f>
        <v/>
      </c>
    </row>
    <row r="86">
      <c r="B86" s="41" t="n"/>
      <c r="C86" s="18" t="n"/>
      <c r="D86" s="18" t="n"/>
      <c r="E86" s="18" t="n"/>
      <c r="F86" s="37" t="n"/>
      <c r="G86" s="37" t="n"/>
      <c r="H86" s="59">
        <f>IF(C86="","",SUMIFS($F$7:F86,$C$7:C86,C86)-SUMIFS($G$7:G86,$C$7:C86,C86))</f>
        <v/>
      </c>
    </row>
    <row r="87">
      <c r="B87" s="41" t="n"/>
      <c r="C87" s="18" t="n"/>
      <c r="D87" s="18" t="n"/>
      <c r="E87" s="18" t="n"/>
      <c r="F87" s="37" t="n"/>
      <c r="G87" s="37" t="n"/>
      <c r="H87" s="59">
        <f>IF(C87="","",SUMIFS($F$7:F87,$C$7:C87,C87)-SUMIFS($G$7:G87,$C$7:C87,C87))</f>
        <v/>
      </c>
    </row>
    <row r="88">
      <c r="B88" s="41" t="n"/>
      <c r="C88" s="18" t="n"/>
      <c r="D88" s="18" t="n"/>
      <c r="E88" s="18" t="n"/>
      <c r="F88" s="37" t="n"/>
      <c r="G88" s="37" t="n"/>
      <c r="H88" s="59">
        <f>IF(C88="","",SUMIFS($F$7:F88,$C$7:C88,C88)-SUMIFS($G$7:G88,$C$7:C88,C88))</f>
        <v/>
      </c>
    </row>
    <row r="89">
      <c r="B89" s="41" t="n"/>
      <c r="C89" s="18" t="n"/>
      <c r="D89" s="18" t="n"/>
      <c r="E89" s="18" t="n"/>
      <c r="F89" s="37" t="n"/>
      <c r="G89" s="37" t="n"/>
      <c r="H89" s="59">
        <f>IF(C89="","",SUMIFS($F$7:F89,$C$7:C89,C89)-SUMIFS($G$7:G89,$C$7:C89,C89))</f>
        <v/>
      </c>
    </row>
    <row r="90">
      <c r="B90" s="41" t="n"/>
      <c r="C90" s="18" t="n"/>
      <c r="D90" s="18" t="n"/>
      <c r="E90" s="18" t="n"/>
      <c r="F90" s="37" t="n"/>
      <c r="G90" s="37" t="n"/>
      <c r="H90" s="59">
        <f>IF(C90="","",SUMIFS($F$7:F90,$C$7:C90,C90)-SUMIFS($G$7:G90,$C$7:C90,C90))</f>
        <v/>
      </c>
    </row>
    <row r="91">
      <c r="B91" s="41" t="n"/>
      <c r="C91" s="18" t="n"/>
      <c r="D91" s="18" t="n"/>
      <c r="E91" s="18" t="n"/>
      <c r="F91" s="37" t="n"/>
      <c r="G91" s="37" t="n"/>
      <c r="H91" s="59">
        <f>IF(C91="","",SUMIFS($F$7:F91,$C$7:C91,C91)-SUMIFS($G$7:G91,$C$7:C91,C91))</f>
        <v/>
      </c>
    </row>
    <row r="92">
      <c r="B92" s="41" t="n"/>
      <c r="C92" s="18" t="n"/>
      <c r="D92" s="18" t="n"/>
      <c r="E92" s="18" t="n"/>
      <c r="F92" s="37" t="n"/>
      <c r="G92" s="37" t="n"/>
      <c r="H92" s="59">
        <f>IF(C92="","",SUMIFS($F$7:F92,$C$7:C92,C92)-SUMIFS($G$7:G92,$C$7:C92,C92))</f>
        <v/>
      </c>
    </row>
    <row r="93">
      <c r="B93" s="41" t="n"/>
      <c r="C93" s="18" t="n"/>
      <c r="D93" s="18" t="n"/>
      <c r="E93" s="18" t="n"/>
      <c r="F93" s="37" t="n"/>
      <c r="G93" s="37" t="n"/>
      <c r="H93" s="59">
        <f>IF(C93="","",SUMIFS($F$7:F93,$C$7:C93,C93)-SUMIFS($G$7:G93,$C$7:C93,C93))</f>
        <v/>
      </c>
    </row>
    <row r="94">
      <c r="B94" s="41" t="n"/>
      <c r="C94" s="18" t="n"/>
      <c r="D94" s="18" t="n"/>
      <c r="E94" s="18" t="n"/>
      <c r="F94" s="37" t="n"/>
      <c r="G94" s="37" t="n"/>
      <c r="H94" s="59">
        <f>IF(C94="","",SUMIFS($F$7:F94,$C$7:C94,C94)-SUMIFS($G$7:G94,$C$7:C94,C94))</f>
        <v/>
      </c>
    </row>
    <row r="95">
      <c r="B95" s="41" t="n"/>
      <c r="C95" s="18" t="n"/>
      <c r="D95" s="18" t="n"/>
      <c r="E95" s="18" t="n"/>
      <c r="F95" s="37" t="n"/>
      <c r="G95" s="37" t="n"/>
      <c r="H95" s="59">
        <f>IF(C95="","",SUMIFS($F$7:F95,$C$7:C95,C95)-SUMIFS($G$7:G95,$C$7:C95,C95))</f>
        <v/>
      </c>
    </row>
    <row r="96">
      <c r="B96" s="41" t="n"/>
      <c r="C96" s="18" t="n"/>
      <c r="D96" s="18" t="n"/>
      <c r="E96" s="18" t="n"/>
      <c r="F96" s="37" t="n"/>
      <c r="G96" s="37" t="n"/>
      <c r="H96" s="59">
        <f>IF(C96="","",SUMIFS($F$7:F96,$C$7:C96,C96)-SUMIFS($G$7:G96,$C$7:C96,C96))</f>
        <v/>
      </c>
    </row>
    <row r="97">
      <c r="B97" s="41" t="n"/>
      <c r="C97" s="18" t="n"/>
      <c r="D97" s="18" t="n"/>
      <c r="E97" s="18" t="n"/>
      <c r="F97" s="37" t="n"/>
      <c r="G97" s="37" t="n"/>
      <c r="H97" s="59">
        <f>IF(C97="","",SUMIFS($F$7:F97,$C$7:C97,C97)-SUMIFS($G$7:G97,$C$7:C97,C97))</f>
        <v/>
      </c>
    </row>
    <row r="98">
      <c r="B98" s="41" t="n"/>
      <c r="C98" s="18" t="n"/>
      <c r="D98" s="18" t="n"/>
      <c r="E98" s="18" t="n"/>
      <c r="F98" s="37" t="n"/>
      <c r="G98" s="37" t="n"/>
      <c r="H98" s="59">
        <f>IF(C98="","",SUMIFS($F$7:F98,$C$7:C98,C98)-SUMIFS($G$7:G98,$C$7:C98,C98))</f>
        <v/>
      </c>
    </row>
    <row r="99">
      <c r="B99" s="41" t="n"/>
      <c r="C99" s="18" t="n"/>
      <c r="D99" s="18" t="n"/>
      <c r="E99" s="18" t="n"/>
      <c r="F99" s="37" t="n"/>
      <c r="G99" s="37" t="n"/>
      <c r="H99" s="59">
        <f>IF(C99="","",SUMIFS($F$7:F99,$C$7:C99,C99)-SUMIFS($G$7:G99,$C$7:C99,C99))</f>
        <v/>
      </c>
    </row>
    <row r="100">
      <c r="B100" s="41" t="n"/>
      <c r="C100" s="18" t="n"/>
      <c r="D100" s="18" t="n"/>
      <c r="E100" s="18" t="n"/>
      <c r="F100" s="37" t="n"/>
      <c r="G100" s="37" t="n"/>
      <c r="H100" s="59">
        <f>IF(C100="","",SUMIFS($F$7:F100,$C$7:C100,C100)-SUMIFS($G$7:G100,$C$7:C100,C100))</f>
        <v/>
      </c>
    </row>
    <row r="101">
      <c r="B101" s="41" t="n"/>
      <c r="C101" s="18" t="n"/>
      <c r="D101" s="18" t="n"/>
      <c r="E101" s="18" t="n"/>
      <c r="F101" s="37" t="n"/>
      <c r="G101" s="37" t="n"/>
      <c r="H101" s="59">
        <f>IF(C101="","",SUMIFS($F$7:F101,$C$7:C101,C101)-SUMIFS($G$7:G101,$C$7:C101,C101))</f>
        <v/>
      </c>
    </row>
    <row r="102">
      <c r="B102" s="41" t="n"/>
      <c r="C102" s="18" t="n"/>
      <c r="D102" s="18" t="n"/>
      <c r="E102" s="18" t="n"/>
      <c r="F102" s="37" t="n"/>
      <c r="G102" s="37" t="n"/>
      <c r="H102" s="59">
        <f>IF(C102="","",SUMIFS($F$7:F102,$C$7:C102,C102)-SUMIFS($G$7:G102,$C$7:C102,C102))</f>
        <v/>
      </c>
    </row>
    <row r="103">
      <c r="B103" s="41" t="n"/>
      <c r="C103" s="18" t="n"/>
      <c r="D103" s="18" t="n"/>
      <c r="E103" s="18" t="n"/>
      <c r="F103" s="37" t="n"/>
      <c r="G103" s="37" t="n"/>
      <c r="H103" s="59">
        <f>IF(C103="","",SUMIFS($F$7:F103,$C$7:C103,C103)-SUMIFS($G$7:G103,$C$7:C103,C103))</f>
        <v/>
      </c>
    </row>
    <row r="104">
      <c r="B104" s="41" t="n"/>
      <c r="C104" s="18" t="n"/>
      <c r="D104" s="18" t="n"/>
      <c r="E104" s="18" t="n"/>
      <c r="F104" s="37" t="n"/>
      <c r="G104" s="37" t="n"/>
      <c r="H104" s="59">
        <f>IF(C104="","",SUMIFS($F$7:F104,$C$7:C104,C104)-SUMIFS($G$7:G104,$C$7:C104,C104))</f>
        <v/>
      </c>
    </row>
    <row r="105">
      <c r="B105" s="41" t="n"/>
      <c r="C105" s="18" t="n"/>
      <c r="D105" s="18" t="n"/>
      <c r="E105" s="18" t="n"/>
      <c r="F105" s="37" t="n"/>
      <c r="G105" s="37" t="n"/>
      <c r="H105" s="59">
        <f>IF(C105="","",SUMIFS($F$7:F105,$C$7:C105,C105)-SUMIFS($G$7:G105,$C$7:C105,C105))</f>
        <v/>
      </c>
    </row>
    <row r="106">
      <c r="B106" s="41" t="n"/>
      <c r="C106" s="18" t="n"/>
      <c r="D106" s="18" t="n"/>
      <c r="E106" s="18" t="n"/>
      <c r="F106" s="37" t="n"/>
      <c r="G106" s="37" t="n"/>
      <c r="H106" s="59">
        <f>IF(C106="","",SUMIFS($F$7:F106,$C$7:C106,C106)-SUMIFS($G$7:G106,$C$7:C106,C106))</f>
        <v/>
      </c>
    </row>
    <row r="107">
      <c r="B107" s="41" t="n"/>
      <c r="C107" s="18" t="n"/>
      <c r="D107" s="18" t="n"/>
      <c r="E107" s="18" t="n"/>
      <c r="F107" s="37" t="n"/>
      <c r="G107" s="37" t="n"/>
      <c r="H107" s="59">
        <f>IF(C107="","",SUMIFS($F$7:F107,$C$7:C107,C107)-SUMIFS($G$7:G107,$C$7:C107,C107))</f>
        <v/>
      </c>
    </row>
    <row r="108">
      <c r="B108" s="41" t="n"/>
      <c r="C108" s="18" t="n"/>
      <c r="D108" s="18" t="n"/>
      <c r="E108" s="18" t="n"/>
      <c r="F108" s="37" t="n"/>
      <c r="G108" s="37" t="n"/>
      <c r="H108" s="59">
        <f>IF(C108="","",SUMIFS($F$7:F108,$C$7:C108,C108)-SUMIFS($G$7:G108,$C$7:C108,C108))</f>
        <v/>
      </c>
    </row>
    <row r="109">
      <c r="B109" s="41" t="n"/>
      <c r="C109" s="18" t="n"/>
      <c r="D109" s="18" t="n"/>
      <c r="E109" s="18" t="n"/>
      <c r="F109" s="37" t="n"/>
      <c r="G109" s="37" t="n"/>
      <c r="H109" s="59">
        <f>IF(C109="","",SUMIFS($F$7:F109,$C$7:C109,C109)-SUMIFS($G$7:G109,$C$7:C109,C109))</f>
        <v/>
      </c>
    </row>
    <row r="110">
      <c r="B110" s="41" t="n"/>
      <c r="C110" s="18" t="n"/>
      <c r="D110" s="18" t="n"/>
      <c r="E110" s="18" t="n"/>
      <c r="F110" s="37" t="n"/>
      <c r="G110" s="37" t="n"/>
      <c r="H110" s="59">
        <f>IF(C110="","",SUMIFS($F$7:F110,$C$7:C110,C110)-SUMIFS($G$7:G110,$C$7:C110,C110))</f>
        <v/>
      </c>
    </row>
    <row r="111">
      <c r="B111" s="41" t="n"/>
      <c r="C111" s="18" t="n"/>
      <c r="D111" s="18" t="n"/>
      <c r="E111" s="18" t="n"/>
      <c r="F111" s="37" t="n"/>
      <c r="G111" s="37" t="n"/>
      <c r="H111" s="59">
        <f>IF(C111="","",SUMIFS($F$7:F111,$C$7:C111,C111)-SUMIFS($G$7:G111,$C$7:C111,C111))</f>
        <v/>
      </c>
    </row>
    <row r="112">
      <c r="B112" s="41" t="n"/>
      <c r="C112" s="18" t="n"/>
      <c r="D112" s="18" t="n"/>
      <c r="E112" s="18" t="n"/>
      <c r="F112" s="37" t="n"/>
      <c r="G112" s="37" t="n"/>
      <c r="H112" s="59">
        <f>IF(C112="","",SUMIFS($F$7:F112,$C$7:C112,C112)-SUMIFS($G$7:G112,$C$7:C112,C112))</f>
        <v/>
      </c>
    </row>
    <row r="113">
      <c r="B113" s="41" t="n"/>
      <c r="C113" s="18" t="n"/>
      <c r="D113" s="18" t="n"/>
      <c r="E113" s="18" t="n"/>
      <c r="F113" s="37" t="n"/>
      <c r="G113" s="37" t="n"/>
      <c r="H113" s="59">
        <f>IF(C113="","",SUMIFS($F$7:F113,$C$7:C113,C113)-SUMIFS($G$7:G113,$C$7:C113,C113))</f>
        <v/>
      </c>
    </row>
    <row r="114">
      <c r="B114" s="41" t="n"/>
      <c r="C114" s="18" t="n"/>
      <c r="D114" s="18" t="n"/>
      <c r="E114" s="18" t="n"/>
      <c r="F114" s="37" t="n"/>
      <c r="G114" s="37" t="n"/>
      <c r="H114" s="59">
        <f>IF(C114="","",SUMIFS($F$7:F114,$C$7:C114,C114)-SUMIFS($G$7:G114,$C$7:C114,C114))</f>
        <v/>
      </c>
    </row>
    <row r="115">
      <c r="B115" s="41" t="n"/>
      <c r="C115" s="18" t="n"/>
      <c r="D115" s="18" t="n"/>
      <c r="E115" s="18" t="n"/>
      <c r="F115" s="37" t="n"/>
      <c r="G115" s="37" t="n"/>
      <c r="H115" s="59">
        <f>IF(C115="","",SUMIFS($F$7:F115,$C$7:C115,C115)-SUMIFS($G$7:G115,$C$7:C115,C115))</f>
        <v/>
      </c>
    </row>
    <row r="116">
      <c r="B116" s="41" t="n"/>
      <c r="C116" s="18" t="n"/>
      <c r="D116" s="18" t="n"/>
      <c r="E116" s="18" t="n"/>
      <c r="F116" s="37" t="n"/>
      <c r="G116" s="37" t="n"/>
      <c r="H116" s="59">
        <f>IF(C116="","",SUMIFS($F$7:F116,$C$7:C116,C116)-SUMIFS($G$7:G116,$C$7:C116,C116))</f>
        <v/>
      </c>
    </row>
    <row r="117">
      <c r="B117" s="41" t="n"/>
      <c r="C117" s="18" t="n"/>
      <c r="D117" s="18" t="n"/>
      <c r="E117" s="18" t="n"/>
      <c r="F117" s="37" t="n"/>
      <c r="G117" s="37" t="n"/>
      <c r="H117" s="59">
        <f>IF(C117="","",SUMIFS($F$7:F117,$C$7:C117,C117)-SUMIFS($G$7:G117,$C$7:C117,C117))</f>
        <v/>
      </c>
    </row>
    <row r="118">
      <c r="B118" s="41" t="n"/>
      <c r="C118" s="18" t="n"/>
      <c r="D118" s="18" t="n"/>
      <c r="E118" s="18" t="n"/>
      <c r="F118" s="37" t="n"/>
      <c r="G118" s="37" t="n"/>
      <c r="H118" s="59">
        <f>IF(C118="","",SUMIFS($F$7:F118,$C$7:C118,C118)-SUMIFS($G$7:G118,$C$7:C118,C118))</f>
        <v/>
      </c>
    </row>
    <row r="119">
      <c r="B119" s="41" t="n"/>
      <c r="C119" s="18" t="n"/>
      <c r="D119" s="18" t="n"/>
      <c r="E119" s="18" t="n"/>
      <c r="F119" s="37" t="n"/>
      <c r="G119" s="37" t="n"/>
      <c r="H119" s="59">
        <f>IF(C119="","",SUMIFS($F$7:F119,$C$7:C119,C119)-SUMIFS($G$7:G119,$C$7:C119,C119))</f>
        <v/>
      </c>
    </row>
    <row r="120">
      <c r="B120" s="41" t="n"/>
      <c r="C120" s="18" t="n"/>
      <c r="D120" s="18" t="n"/>
      <c r="E120" s="18" t="n"/>
      <c r="F120" s="37" t="n"/>
      <c r="G120" s="37" t="n"/>
      <c r="H120" s="59">
        <f>IF(C120="","",SUMIFS($F$7:F120,$C$7:C120,C120)-SUMIFS($G$7:G120,$C$7:C120,C120))</f>
        <v/>
      </c>
    </row>
    <row r="121">
      <c r="B121" s="41" t="n"/>
      <c r="C121" s="18" t="n"/>
      <c r="D121" s="18" t="n"/>
      <c r="E121" s="18" t="n"/>
      <c r="F121" s="37" t="n"/>
      <c r="G121" s="37" t="n"/>
      <c r="H121" s="59">
        <f>IF(C121="","",SUMIFS($F$7:F121,$C$7:C121,C121)-SUMIFS($G$7:G121,$C$7:C121,C121))</f>
        <v/>
      </c>
    </row>
    <row r="122">
      <c r="B122" s="41" t="n"/>
      <c r="C122" s="18" t="n"/>
      <c r="D122" s="18" t="n"/>
      <c r="E122" s="18" t="n"/>
      <c r="F122" s="37" t="n"/>
      <c r="G122" s="37" t="n"/>
      <c r="H122" s="59">
        <f>IF(C122="","",SUMIFS($F$7:F122,$C$7:C122,C122)-SUMIFS($G$7:G122,$C$7:C122,C122))</f>
        <v/>
      </c>
    </row>
    <row r="123">
      <c r="B123" s="41" t="n"/>
      <c r="C123" s="18" t="n"/>
      <c r="D123" s="18" t="n"/>
      <c r="E123" s="18" t="n"/>
      <c r="F123" s="37" t="n"/>
      <c r="G123" s="37" t="n"/>
      <c r="H123" s="59">
        <f>IF(C123="","",SUMIFS($F$7:F123,$C$7:C123,C123)-SUMIFS($G$7:G123,$C$7:C123,C123))</f>
        <v/>
      </c>
    </row>
    <row r="124">
      <c r="B124" s="41" t="n"/>
      <c r="C124" s="18" t="n"/>
      <c r="D124" s="18" t="n"/>
      <c r="E124" s="18" t="n"/>
      <c r="F124" s="37" t="n"/>
      <c r="G124" s="37" t="n"/>
      <c r="H124" s="59">
        <f>IF(C124="","",SUMIFS($F$7:F124,$C$7:C124,C124)-SUMIFS($G$7:G124,$C$7:C124,C124))</f>
        <v/>
      </c>
    </row>
    <row r="125">
      <c r="B125" s="41" t="n"/>
      <c r="C125" s="18" t="n"/>
      <c r="D125" s="18" t="n"/>
      <c r="E125" s="18" t="n"/>
      <c r="F125" s="37" t="n"/>
      <c r="G125" s="37" t="n"/>
      <c r="H125" s="59">
        <f>IF(C125="","",SUMIFS($F$7:F125,$C$7:C125,C125)-SUMIFS($G$7:G125,$C$7:C125,C125))</f>
        <v/>
      </c>
    </row>
    <row r="126">
      <c r="B126" s="41" t="n"/>
      <c r="C126" s="18" t="n"/>
      <c r="D126" s="18" t="n"/>
      <c r="E126" s="18" t="n"/>
      <c r="F126" s="37" t="n"/>
      <c r="G126" s="37" t="n"/>
      <c r="H126" s="59">
        <f>IF(C126="","",SUMIFS($F$7:F126,$C$7:C126,C126)-SUMIFS($G$7:G126,$C$7:C126,C126))</f>
        <v/>
      </c>
    </row>
    <row r="127">
      <c r="B127" s="41" t="n"/>
      <c r="C127" s="18" t="n"/>
      <c r="D127" s="18" t="n"/>
      <c r="E127" s="18" t="n"/>
      <c r="F127" s="37" t="n"/>
      <c r="G127" s="37" t="n"/>
      <c r="H127" s="59">
        <f>IF(C127="","",SUMIFS($F$7:F127,$C$7:C127,C127)-SUMIFS($G$7:G127,$C$7:C127,C127))</f>
        <v/>
      </c>
    </row>
    <row r="128">
      <c r="B128" s="41" t="n"/>
      <c r="C128" s="18" t="n"/>
      <c r="D128" s="18" t="n"/>
      <c r="E128" s="18" t="n"/>
      <c r="F128" s="37" t="n"/>
      <c r="G128" s="37" t="n"/>
      <c r="H128" s="59">
        <f>IF(C128="","",SUMIFS($F$7:F128,$C$7:C128,C128)-SUMIFS($G$7:G128,$C$7:C128,C128))</f>
        <v/>
      </c>
    </row>
    <row r="129">
      <c r="B129" s="41" t="n"/>
      <c r="C129" s="18" t="n"/>
      <c r="D129" s="18" t="n"/>
      <c r="E129" s="18" t="n"/>
      <c r="F129" s="37" t="n"/>
      <c r="G129" s="37" t="n"/>
      <c r="H129" s="59">
        <f>IF(C129="","",SUMIFS($F$7:F129,$C$7:C129,C129)-SUMIFS($G$7:G129,$C$7:C129,C129))</f>
        <v/>
      </c>
    </row>
    <row r="130">
      <c r="B130" s="41" t="n"/>
      <c r="C130" s="18" t="n"/>
      <c r="D130" s="18" t="n"/>
      <c r="E130" s="18" t="n"/>
      <c r="F130" s="37" t="n"/>
      <c r="G130" s="37" t="n"/>
      <c r="H130" s="59">
        <f>IF(C130="","",SUMIFS($F$7:F130,$C$7:C130,C130)-SUMIFS($G$7:G130,$C$7:C130,C130))</f>
        <v/>
      </c>
    </row>
    <row r="131">
      <c r="B131" s="41" t="n"/>
      <c r="C131" s="18" t="n"/>
      <c r="D131" s="18" t="n"/>
      <c r="E131" s="18" t="n"/>
      <c r="F131" s="37" t="n"/>
      <c r="G131" s="37" t="n"/>
      <c r="H131" s="59">
        <f>IF(C131="","",SUMIFS($F$7:F131,$C$7:C131,C131)-SUMIFS($G$7:G131,$C$7:C131,C131))</f>
        <v/>
      </c>
    </row>
    <row r="132">
      <c r="B132" s="41" t="n"/>
      <c r="C132" s="18" t="n"/>
      <c r="D132" s="18" t="n"/>
      <c r="E132" s="18" t="n"/>
      <c r="F132" s="37" t="n"/>
      <c r="G132" s="37" t="n"/>
      <c r="H132" s="59">
        <f>IF(C132="","",SUMIFS($F$7:F132,$C$7:C132,C132)-SUMIFS($G$7:G132,$C$7:C132,C132))</f>
        <v/>
      </c>
    </row>
    <row r="133">
      <c r="B133" s="41" t="n"/>
      <c r="C133" s="18" t="n"/>
      <c r="D133" s="18" t="n"/>
      <c r="E133" s="18" t="n"/>
      <c r="F133" s="37" t="n"/>
      <c r="G133" s="37" t="n"/>
      <c r="H133" s="59">
        <f>IF(C133="","",SUMIFS($F$7:F133,$C$7:C133,C133)-SUMIFS($G$7:G133,$C$7:C133,C133))</f>
        <v/>
      </c>
    </row>
    <row r="134">
      <c r="B134" s="41" t="n"/>
      <c r="C134" s="18" t="n"/>
      <c r="D134" s="18" t="n"/>
      <c r="E134" s="18" t="n"/>
      <c r="F134" s="37" t="n"/>
      <c r="G134" s="37" t="n"/>
      <c r="H134" s="59">
        <f>IF(C134="","",SUMIFS($F$7:F134,$C$7:C134,C134)-SUMIFS($G$7:G134,$C$7:C134,C134))</f>
        <v/>
      </c>
    </row>
    <row r="135">
      <c r="B135" s="41" t="n"/>
      <c r="C135" s="18" t="n"/>
      <c r="D135" s="18" t="n"/>
      <c r="E135" s="18" t="n"/>
      <c r="F135" s="37" t="n"/>
      <c r="G135" s="37" t="n"/>
      <c r="H135" s="59">
        <f>IF(C135="","",SUMIFS($F$7:F135,$C$7:C135,C135)-SUMIFS($G$7:G135,$C$7:C135,C135))</f>
        <v/>
      </c>
    </row>
    <row r="136">
      <c r="B136" s="41" t="n"/>
      <c r="C136" s="18" t="n"/>
      <c r="D136" s="18" t="n"/>
      <c r="E136" s="18" t="n"/>
      <c r="F136" s="37" t="n"/>
      <c r="G136" s="37" t="n"/>
      <c r="H136" s="59">
        <f>IF(C136="","",SUMIFS($F$7:F136,$C$7:C136,C136)-SUMIFS($G$7:G136,$C$7:C136,C136))</f>
        <v/>
      </c>
    </row>
    <row r="137">
      <c r="B137" s="41" t="n"/>
      <c r="C137" s="18" t="n"/>
      <c r="D137" s="18" t="n"/>
      <c r="E137" s="18" t="n"/>
      <c r="F137" s="37" t="n"/>
      <c r="G137" s="37" t="n"/>
      <c r="H137" s="59">
        <f>IF(C137="","",SUMIFS($F$7:F137,$C$7:C137,C137)-SUMIFS($G$7:G137,$C$7:C137,C137))</f>
        <v/>
      </c>
    </row>
    <row r="138">
      <c r="B138" s="41" t="n"/>
      <c r="C138" s="18" t="n"/>
      <c r="D138" s="18" t="n"/>
      <c r="E138" s="18" t="n"/>
      <c r="F138" s="37" t="n"/>
      <c r="G138" s="37" t="n"/>
      <c r="H138" s="59">
        <f>IF(C138="","",SUMIFS($F$7:F138,$C$7:C138,C138)-SUMIFS($G$7:G138,$C$7:C138,C138))</f>
        <v/>
      </c>
    </row>
    <row r="139">
      <c r="B139" s="41" t="n"/>
      <c r="C139" s="18" t="n"/>
      <c r="D139" s="18" t="n"/>
      <c r="E139" s="18" t="n"/>
      <c r="F139" s="37" t="n"/>
      <c r="G139" s="37" t="n"/>
      <c r="H139" s="59">
        <f>IF(C139="","",SUMIFS($F$7:F139,$C$7:C139,C139)-SUMIFS($G$7:G139,$C$7:C139,C139))</f>
        <v/>
      </c>
    </row>
    <row r="140">
      <c r="B140" s="41" t="n"/>
      <c r="C140" s="18" t="n"/>
      <c r="D140" s="18" t="n"/>
      <c r="E140" s="18" t="n"/>
      <c r="F140" s="37" t="n"/>
      <c r="G140" s="37" t="n"/>
      <c r="H140" s="59">
        <f>IF(C140="","",SUMIFS($F$7:F140,$C$7:C140,C140)-SUMIFS($G$7:G140,$C$7:C140,C140))</f>
        <v/>
      </c>
    </row>
    <row r="141">
      <c r="B141" s="41" t="n"/>
      <c r="C141" s="18" t="n"/>
      <c r="D141" s="18" t="n"/>
      <c r="E141" s="18" t="n"/>
      <c r="F141" s="37" t="n"/>
      <c r="G141" s="37" t="n"/>
      <c r="H141" s="59">
        <f>IF(C141="","",SUMIFS($F$7:F141,$C$7:C141,C141)-SUMIFS($G$7:G141,$C$7:C141,C141))</f>
        <v/>
      </c>
    </row>
    <row r="142">
      <c r="B142" s="41" t="n"/>
      <c r="C142" s="18" t="n"/>
      <c r="D142" s="18" t="n"/>
      <c r="E142" s="18" t="n"/>
      <c r="F142" s="37" t="n"/>
      <c r="G142" s="37" t="n"/>
      <c r="H142" s="59">
        <f>IF(C142="","",SUMIFS($F$7:F142,$C$7:C142,C142)-SUMIFS($G$7:G142,$C$7:C142,C142))</f>
        <v/>
      </c>
    </row>
    <row r="143">
      <c r="B143" s="41" t="n"/>
      <c r="C143" s="18" t="n"/>
      <c r="D143" s="18" t="n"/>
      <c r="E143" s="18" t="n"/>
      <c r="F143" s="37" t="n"/>
      <c r="G143" s="37" t="n"/>
      <c r="H143" s="59">
        <f>IF(C143="","",SUMIFS($F$7:F143,$C$7:C143,C143)-SUMIFS($G$7:G143,$C$7:C143,C143))</f>
        <v/>
      </c>
    </row>
    <row r="144">
      <c r="B144" s="41" t="n"/>
      <c r="C144" s="18" t="n"/>
      <c r="D144" s="18" t="n"/>
      <c r="E144" s="18" t="n"/>
      <c r="F144" s="37" t="n"/>
      <c r="G144" s="37" t="n"/>
      <c r="H144" s="59">
        <f>IF(C144="","",SUMIFS($F$7:F144,$C$7:C144,C144)-SUMIFS($G$7:G144,$C$7:C144,C144))</f>
        <v/>
      </c>
    </row>
    <row r="145">
      <c r="B145" s="41" t="n"/>
      <c r="C145" s="18" t="n"/>
      <c r="D145" s="18" t="n"/>
      <c r="E145" s="18" t="n"/>
      <c r="F145" s="37" t="n"/>
      <c r="G145" s="37" t="n"/>
      <c r="H145" s="59">
        <f>IF(C145="","",SUMIFS($F$7:F145,$C$7:C145,C145)-SUMIFS($G$7:G145,$C$7:C145,C145))</f>
        <v/>
      </c>
    </row>
    <row r="146">
      <c r="B146" s="41" t="n"/>
      <c r="C146" s="18" t="n"/>
      <c r="D146" s="18" t="n"/>
      <c r="E146" s="18" t="n"/>
      <c r="F146" s="37" t="n"/>
      <c r="G146" s="37" t="n"/>
      <c r="H146" s="59">
        <f>IF(C146="","",SUMIFS($F$7:F146,$C$7:C146,C146)-SUMIFS($G$7:G146,$C$7:C146,C146))</f>
        <v/>
      </c>
    </row>
    <row r="147">
      <c r="B147" s="41" t="n"/>
      <c r="C147" s="18" t="n"/>
      <c r="D147" s="18" t="n"/>
      <c r="E147" s="18" t="n"/>
      <c r="F147" s="37" t="n"/>
      <c r="G147" s="37" t="n"/>
      <c r="H147" s="59">
        <f>IF(C147="","",SUMIFS($F$7:F147,$C$7:C147,C147)-SUMIFS($G$7:G147,$C$7:C147,C147))</f>
        <v/>
      </c>
    </row>
    <row r="148">
      <c r="B148" s="41" t="n"/>
      <c r="C148" s="18" t="n"/>
      <c r="D148" s="18" t="n"/>
      <c r="E148" s="18" t="n"/>
      <c r="F148" s="37" t="n"/>
      <c r="G148" s="37" t="n"/>
      <c r="H148" s="59">
        <f>IF(C148="","",SUMIFS($F$7:F148,$C$7:C148,C148)-SUMIFS($G$7:G148,$C$7:C148,C148))</f>
        <v/>
      </c>
    </row>
    <row r="149">
      <c r="B149" s="41" t="n"/>
      <c r="C149" s="18" t="n"/>
      <c r="D149" s="18" t="n"/>
      <c r="E149" s="18" t="n"/>
      <c r="F149" s="37" t="n"/>
      <c r="G149" s="37" t="n"/>
      <c r="H149" s="59">
        <f>IF(C149="","",SUMIFS($F$7:F149,$C$7:C149,C149)-SUMIFS($G$7:G149,$C$7:C149,C149))</f>
        <v/>
      </c>
    </row>
    <row r="150">
      <c r="B150" s="41" t="n"/>
      <c r="C150" s="18" t="n"/>
      <c r="D150" s="18" t="n"/>
      <c r="E150" s="18" t="n"/>
      <c r="F150" s="37" t="n"/>
      <c r="G150" s="37" t="n"/>
      <c r="H150" s="59">
        <f>IF(C150="","",SUMIFS($F$7:F150,$C$7:C150,C150)-SUMIFS($G$7:G150,$C$7:C150,C150))</f>
        <v/>
      </c>
    </row>
    <row r="151">
      <c r="B151" s="41" t="n"/>
      <c r="C151" s="18" t="n"/>
      <c r="D151" s="18" t="n"/>
      <c r="E151" s="18" t="n"/>
      <c r="F151" s="37" t="n"/>
      <c r="G151" s="37" t="n"/>
      <c r="H151" s="59">
        <f>IF(C151="","",SUMIFS($F$7:F151,$C$7:C151,C151)-SUMIFS($G$7:G151,$C$7:C151,C151))</f>
        <v/>
      </c>
    </row>
    <row r="152">
      <c r="B152" s="41" t="n"/>
      <c r="C152" s="18" t="n"/>
      <c r="D152" s="18" t="n"/>
      <c r="E152" s="18" t="n"/>
      <c r="F152" s="37" t="n"/>
      <c r="G152" s="37" t="n"/>
      <c r="H152" s="59">
        <f>IF(C152="","",SUMIFS($F$7:F152,$C$7:C152,C152)-SUMIFS($G$7:G152,$C$7:C152,C152))</f>
        <v/>
      </c>
    </row>
    <row r="153">
      <c r="B153" s="41" t="n"/>
      <c r="C153" s="18" t="n"/>
      <c r="D153" s="18" t="n"/>
      <c r="E153" s="18" t="n"/>
      <c r="F153" s="37" t="n"/>
      <c r="G153" s="37" t="n"/>
      <c r="H153" s="59">
        <f>IF(C153="","",SUMIFS($F$7:F153,$C$7:C153,C153)-SUMIFS($G$7:G153,$C$7:C153,C153))</f>
        <v/>
      </c>
    </row>
    <row r="154">
      <c r="B154" s="41" t="n"/>
      <c r="C154" s="18" t="n"/>
      <c r="D154" s="18" t="n"/>
      <c r="E154" s="18" t="n"/>
      <c r="F154" s="37" t="n"/>
      <c r="G154" s="37" t="n"/>
      <c r="H154" s="59">
        <f>IF(C154="","",SUMIFS($F$7:F154,$C$7:C154,C154)-SUMIFS($G$7:G154,$C$7:C154,C154))</f>
        <v/>
      </c>
    </row>
    <row r="155">
      <c r="B155" s="41" t="n"/>
      <c r="C155" s="18" t="n"/>
      <c r="D155" s="18" t="n"/>
      <c r="E155" s="18" t="n"/>
      <c r="F155" s="37" t="n"/>
      <c r="G155" s="37" t="n"/>
      <c r="H155" s="59">
        <f>IF(C155="","",SUMIFS($F$7:F155,$C$7:C155,C155)-SUMIFS($G$7:G155,$C$7:C155,C155))</f>
        <v/>
      </c>
    </row>
    <row r="156">
      <c r="B156" s="41" t="n"/>
      <c r="C156" s="18" t="n"/>
      <c r="D156" s="18" t="n"/>
      <c r="E156" s="18" t="n"/>
      <c r="F156" s="37" t="n"/>
      <c r="G156" s="37" t="n"/>
      <c r="H156" s="59">
        <f>IF(C156="","",SUMIFS($F$7:F156,$C$7:C156,C156)-SUMIFS($G$7:G156,$C$7:C156,C156))</f>
        <v/>
      </c>
    </row>
    <row r="157">
      <c r="B157" s="41" t="n"/>
      <c r="C157" s="18" t="n"/>
      <c r="D157" s="18" t="n"/>
      <c r="E157" s="18" t="n"/>
      <c r="F157" s="37" t="n"/>
      <c r="G157" s="37" t="n"/>
      <c r="H157" s="59">
        <f>IF(C157="","",SUMIFS($F$7:F157,$C$7:C157,C157)-SUMIFS($G$7:G157,$C$7:C157,C157))</f>
        <v/>
      </c>
    </row>
    <row r="158">
      <c r="B158" s="41" t="n"/>
      <c r="C158" s="18" t="n"/>
      <c r="D158" s="18" t="n"/>
      <c r="E158" s="18" t="n"/>
      <c r="F158" s="37" t="n"/>
      <c r="G158" s="37" t="n"/>
      <c r="H158" s="59">
        <f>IF(C158="","",SUMIFS($F$7:F158,$C$7:C158,C158)-SUMIFS($G$7:G158,$C$7:C158,C158))</f>
        <v/>
      </c>
    </row>
    <row r="159">
      <c r="B159" s="41" t="n"/>
      <c r="C159" s="18" t="n"/>
      <c r="D159" s="18" t="n"/>
      <c r="E159" s="18" t="n"/>
      <c r="F159" s="37" t="n"/>
      <c r="G159" s="37" t="n"/>
      <c r="H159" s="59">
        <f>IF(C159="","",SUMIFS($F$7:F159,$C$7:C159,C159)-SUMIFS($G$7:G159,$C$7:C159,C159))</f>
        <v/>
      </c>
    </row>
    <row r="160">
      <c r="B160" s="41" t="n"/>
      <c r="C160" s="18" t="n"/>
      <c r="D160" s="18" t="n"/>
      <c r="E160" s="18" t="n"/>
      <c r="F160" s="37" t="n"/>
      <c r="G160" s="37" t="n"/>
      <c r="H160" s="59">
        <f>IF(C160="","",SUMIFS($F$7:F160,$C$7:C160,C160)-SUMIFS($G$7:G160,$C$7:C160,C160))</f>
        <v/>
      </c>
    </row>
    <row r="161">
      <c r="B161" s="41" t="n"/>
      <c r="C161" s="18" t="n"/>
      <c r="D161" s="18" t="n"/>
      <c r="E161" s="18" t="n"/>
      <c r="F161" s="37" t="n"/>
      <c r="G161" s="37" t="n"/>
      <c r="H161" s="59">
        <f>IF(C161="","",SUMIFS($F$7:F161,$C$7:C161,C161)-SUMIFS($G$7:G161,$C$7:C161,C161))</f>
        <v/>
      </c>
    </row>
    <row r="162">
      <c r="B162" s="41" t="n"/>
      <c r="C162" s="18" t="n"/>
      <c r="D162" s="18" t="n"/>
      <c r="E162" s="18" t="n"/>
      <c r="F162" s="37" t="n"/>
      <c r="G162" s="37" t="n"/>
      <c r="H162" s="59">
        <f>IF(C162="","",SUMIFS($F$7:F162,$C$7:C162,C162)-SUMIFS($G$7:G162,$C$7:C162,C162))</f>
        <v/>
      </c>
    </row>
    <row r="163">
      <c r="B163" s="41" t="n"/>
      <c r="C163" s="18" t="n"/>
      <c r="D163" s="18" t="n"/>
      <c r="E163" s="18" t="n"/>
      <c r="F163" s="37" t="n"/>
      <c r="G163" s="37" t="n"/>
      <c r="H163" s="59">
        <f>IF(C163="","",SUMIFS($F$7:F163,$C$7:C163,C163)-SUMIFS($G$7:G163,$C$7:C163,C163))</f>
        <v/>
      </c>
    </row>
    <row r="164">
      <c r="B164" s="41" t="n"/>
      <c r="C164" s="18" t="n"/>
      <c r="D164" s="18" t="n"/>
      <c r="E164" s="18" t="n"/>
      <c r="F164" s="37" t="n"/>
      <c r="G164" s="37" t="n"/>
      <c r="H164" s="59">
        <f>IF(C164="","",SUMIFS($F$7:F164,$C$7:C164,C164)-SUMIFS($G$7:G164,$C$7:C164,C164))</f>
        <v/>
      </c>
    </row>
    <row r="165">
      <c r="B165" s="41" t="n"/>
      <c r="C165" s="18" t="n"/>
      <c r="D165" s="18" t="n"/>
      <c r="E165" s="18" t="n"/>
      <c r="F165" s="37" t="n"/>
      <c r="G165" s="37" t="n"/>
      <c r="H165" s="59">
        <f>IF(C165="","",SUMIFS($F$7:F165,$C$7:C165,C165)-SUMIFS($G$7:G165,$C$7:C165,C165))</f>
        <v/>
      </c>
    </row>
    <row r="166">
      <c r="B166" s="41" t="n"/>
      <c r="C166" s="18" t="n"/>
      <c r="D166" s="18" t="n"/>
      <c r="E166" s="18" t="n"/>
      <c r="F166" s="37" t="n"/>
      <c r="G166" s="37" t="n"/>
      <c r="H166" s="59">
        <f>IF(C166="","",SUMIFS($F$7:F166,$C$7:C166,C166)-SUMIFS($G$7:G166,$C$7:C166,C166))</f>
        <v/>
      </c>
    </row>
    <row r="167">
      <c r="B167" s="41" t="n"/>
      <c r="C167" s="18" t="n"/>
      <c r="D167" s="18" t="n"/>
      <c r="E167" s="18" t="n"/>
      <c r="F167" s="37" t="n"/>
      <c r="G167" s="37" t="n"/>
      <c r="H167" s="59">
        <f>IF(C167="","",SUMIFS($F$7:F167,$C$7:C167,C167)-SUMIFS($G$7:G167,$C$7:C167,C167))</f>
        <v/>
      </c>
    </row>
    <row r="168">
      <c r="B168" s="41" t="n"/>
      <c r="C168" s="18" t="n"/>
      <c r="D168" s="18" t="n"/>
      <c r="E168" s="18" t="n"/>
      <c r="F168" s="37" t="n"/>
      <c r="G168" s="37" t="n"/>
      <c r="H168" s="59">
        <f>IF(C168="","",SUMIFS($F$7:F168,$C$7:C168,C168)-SUMIFS($G$7:G168,$C$7:C168,C168))</f>
        <v/>
      </c>
    </row>
    <row r="169">
      <c r="B169" s="41" t="n"/>
      <c r="C169" s="18" t="n"/>
      <c r="D169" s="18" t="n"/>
      <c r="E169" s="18" t="n"/>
      <c r="F169" s="37" t="n"/>
      <c r="G169" s="37" t="n"/>
      <c r="H169" s="59">
        <f>IF(C169="","",SUMIFS($F$7:F169,$C$7:C169,C169)-SUMIFS($G$7:G169,$C$7:C169,C169))</f>
        <v/>
      </c>
    </row>
    <row r="170">
      <c r="B170" s="41" t="n"/>
      <c r="C170" s="18" t="n"/>
      <c r="D170" s="18" t="n"/>
      <c r="E170" s="18" t="n"/>
      <c r="F170" s="37" t="n"/>
      <c r="G170" s="37" t="n"/>
      <c r="H170" s="59">
        <f>IF(C170="","",SUMIFS($F$7:F170,$C$7:C170,C170)-SUMIFS($G$7:G170,$C$7:C170,C170))</f>
        <v/>
      </c>
    </row>
    <row r="171">
      <c r="B171" s="41" t="n"/>
      <c r="C171" s="18" t="n"/>
      <c r="D171" s="18" t="n"/>
      <c r="E171" s="18" t="n"/>
      <c r="F171" s="37" t="n"/>
      <c r="G171" s="37" t="n"/>
      <c r="H171" s="59">
        <f>IF(C171="","",SUMIFS($F$7:F171,$C$7:C171,C171)-SUMIFS($G$7:G171,$C$7:C171,C171))</f>
        <v/>
      </c>
    </row>
    <row r="172">
      <c r="B172" s="41" t="n"/>
      <c r="C172" s="18" t="n"/>
      <c r="D172" s="18" t="n"/>
      <c r="E172" s="18" t="n"/>
      <c r="F172" s="37" t="n"/>
      <c r="G172" s="37" t="n"/>
      <c r="H172" s="59">
        <f>IF(C172="","",SUMIFS($F$7:F172,$C$7:C172,C172)-SUMIFS($G$7:G172,$C$7:C172,C172))</f>
        <v/>
      </c>
    </row>
    <row r="173">
      <c r="B173" s="41" t="n"/>
      <c r="C173" s="18" t="n"/>
      <c r="D173" s="18" t="n"/>
      <c r="E173" s="18" t="n"/>
      <c r="F173" s="37" t="n"/>
      <c r="G173" s="37" t="n"/>
      <c r="H173" s="59">
        <f>IF(C173="","",SUMIFS($F$7:F173,$C$7:C173,C173)-SUMIFS($G$7:G173,$C$7:C173,C173))</f>
        <v/>
      </c>
    </row>
    <row r="174">
      <c r="B174" s="41" t="n"/>
      <c r="C174" s="18" t="n"/>
      <c r="D174" s="18" t="n"/>
      <c r="E174" s="18" t="n"/>
      <c r="F174" s="37" t="n"/>
      <c r="G174" s="37" t="n"/>
      <c r="H174" s="59">
        <f>IF(C174="","",SUMIFS($F$7:F174,$C$7:C174,C174)-SUMIFS($G$7:G174,$C$7:C174,C174))</f>
        <v/>
      </c>
    </row>
    <row r="175">
      <c r="B175" s="41" t="n"/>
      <c r="C175" s="18" t="n"/>
      <c r="D175" s="18" t="n"/>
      <c r="E175" s="18" t="n"/>
      <c r="F175" s="37" t="n"/>
      <c r="G175" s="37" t="n"/>
      <c r="H175" s="59">
        <f>IF(C175="","",SUMIFS($F$7:F175,$C$7:C175,C175)-SUMIFS($G$7:G175,$C$7:C175,C175))</f>
        <v/>
      </c>
    </row>
    <row r="176">
      <c r="B176" s="41" t="n"/>
      <c r="C176" s="18" t="n"/>
      <c r="D176" s="18" t="n"/>
      <c r="E176" s="18" t="n"/>
      <c r="F176" s="37" t="n"/>
      <c r="G176" s="37" t="n"/>
      <c r="H176" s="59">
        <f>IF(C176="","",SUMIFS($F$7:F176,$C$7:C176,C176)-SUMIFS($G$7:G176,$C$7:C176,C176))</f>
        <v/>
      </c>
    </row>
    <row r="177">
      <c r="B177" s="41" t="n"/>
      <c r="C177" s="18" t="n"/>
      <c r="D177" s="18" t="n"/>
      <c r="E177" s="18" t="n"/>
      <c r="F177" s="37" t="n"/>
      <c r="G177" s="37" t="n"/>
      <c r="H177" s="59">
        <f>IF(C177="","",SUMIFS($F$7:F177,$C$7:C177,C177)-SUMIFS($G$7:G177,$C$7:C177,C177))</f>
        <v/>
      </c>
    </row>
    <row r="178">
      <c r="B178" s="41" t="n"/>
      <c r="C178" s="18" t="n"/>
      <c r="D178" s="18" t="n"/>
      <c r="E178" s="18" t="n"/>
      <c r="F178" s="37" t="n"/>
      <c r="G178" s="37" t="n"/>
      <c r="H178" s="59">
        <f>IF(C178="","",SUMIFS($F$7:F178,$C$7:C178,C178)-SUMIFS($G$7:G178,$C$7:C178,C178))</f>
        <v/>
      </c>
    </row>
    <row r="179">
      <c r="B179" s="41" t="n"/>
      <c r="C179" s="18" t="n"/>
      <c r="D179" s="18" t="n"/>
      <c r="E179" s="18" t="n"/>
      <c r="F179" s="37" t="n"/>
      <c r="G179" s="37" t="n"/>
      <c r="H179" s="59">
        <f>IF(C179="","",SUMIFS($F$7:F179,$C$7:C179,C179)-SUMIFS($G$7:G179,$C$7:C179,C179))</f>
        <v/>
      </c>
    </row>
    <row r="180">
      <c r="B180" s="41" t="n"/>
      <c r="C180" s="18" t="n"/>
      <c r="D180" s="18" t="n"/>
      <c r="E180" s="18" t="n"/>
      <c r="F180" s="37" t="n"/>
      <c r="G180" s="37" t="n"/>
      <c r="H180" s="59">
        <f>IF(C180="","",SUMIFS($F$7:F180,$C$7:C180,C180)-SUMIFS($G$7:G180,$C$7:C180,C180))</f>
        <v/>
      </c>
    </row>
    <row r="181">
      <c r="B181" s="41" t="n"/>
      <c r="C181" s="18" t="n"/>
      <c r="D181" s="18" t="n"/>
      <c r="E181" s="18" t="n"/>
      <c r="F181" s="37" t="n"/>
      <c r="G181" s="37" t="n"/>
      <c r="H181" s="59">
        <f>IF(C181="","",SUMIFS($F$7:F181,$C$7:C181,C181)-SUMIFS($G$7:G181,$C$7:C181,C181))</f>
        <v/>
      </c>
    </row>
    <row r="182">
      <c r="B182" s="41" t="n"/>
      <c r="C182" s="18" t="n"/>
      <c r="D182" s="18" t="n"/>
      <c r="E182" s="18" t="n"/>
      <c r="F182" s="37" t="n"/>
      <c r="G182" s="37" t="n"/>
      <c r="H182" s="59">
        <f>IF(C182="","",SUMIFS($F$7:F182,$C$7:C182,C182)-SUMIFS($G$7:G182,$C$7:C182,C182))</f>
        <v/>
      </c>
    </row>
    <row r="183">
      <c r="B183" s="41" t="n"/>
      <c r="C183" s="18" t="n"/>
      <c r="D183" s="18" t="n"/>
      <c r="E183" s="18" t="n"/>
      <c r="F183" s="37" t="n"/>
      <c r="G183" s="37" t="n"/>
      <c r="H183" s="59">
        <f>IF(C183="","",SUMIFS($F$7:F183,$C$7:C183,C183)-SUMIFS($G$7:G183,$C$7:C183,C183))</f>
        <v/>
      </c>
    </row>
    <row r="184">
      <c r="B184" s="41" t="n"/>
      <c r="C184" s="18" t="n"/>
      <c r="D184" s="18" t="n"/>
      <c r="E184" s="18" t="n"/>
      <c r="F184" s="37" t="n"/>
      <c r="G184" s="37" t="n"/>
      <c r="H184" s="59">
        <f>IF(C184="","",SUMIFS($F$7:F184,$C$7:C184,C184)-SUMIFS($G$7:G184,$C$7:C184,C184))</f>
        <v/>
      </c>
    </row>
    <row r="185">
      <c r="B185" s="41" t="n"/>
      <c r="C185" s="18" t="n"/>
      <c r="D185" s="18" t="n"/>
      <c r="E185" s="18" t="n"/>
      <c r="F185" s="37" t="n"/>
      <c r="G185" s="37" t="n"/>
      <c r="H185" s="59">
        <f>IF(C185="","",SUMIFS($F$7:F185,$C$7:C185,C185)-SUMIFS($G$7:G185,$C$7:C185,C185))</f>
        <v/>
      </c>
    </row>
    <row r="186">
      <c r="B186" s="41" t="n"/>
      <c r="C186" s="18" t="n"/>
      <c r="D186" s="18" t="n"/>
      <c r="E186" s="18" t="n"/>
      <c r="F186" s="37" t="n"/>
      <c r="G186" s="37" t="n"/>
      <c r="H186" s="59">
        <f>IF(C186="","",SUMIFS($F$7:F186,$C$7:C186,C186)-SUMIFS($G$7:G186,$C$7:C186,C186))</f>
        <v/>
      </c>
    </row>
    <row r="187">
      <c r="B187" s="41" t="n"/>
      <c r="C187" s="18" t="n"/>
      <c r="D187" s="18" t="n"/>
      <c r="E187" s="18" t="n"/>
      <c r="F187" s="37" t="n"/>
      <c r="G187" s="37" t="n"/>
      <c r="H187" s="59">
        <f>IF(C187="","",SUMIFS($F$7:F187,$C$7:C187,C187)-SUMIFS($G$7:G187,$C$7:C187,C187))</f>
        <v/>
      </c>
    </row>
    <row r="188">
      <c r="B188" s="41" t="n"/>
      <c r="C188" s="18" t="n"/>
      <c r="D188" s="18" t="n"/>
      <c r="E188" s="18" t="n"/>
      <c r="F188" s="37" t="n"/>
      <c r="G188" s="37" t="n"/>
      <c r="H188" s="59">
        <f>IF(C188="","",SUMIFS($F$7:F188,$C$7:C188,C188)-SUMIFS($G$7:G188,$C$7:C188,C188))</f>
        <v/>
      </c>
    </row>
    <row r="189">
      <c r="B189" s="41" t="n"/>
      <c r="C189" s="18" t="n"/>
      <c r="D189" s="18" t="n"/>
      <c r="E189" s="18" t="n"/>
      <c r="F189" s="37" t="n"/>
      <c r="G189" s="37" t="n"/>
      <c r="H189" s="59">
        <f>IF(C189="","",SUMIFS($F$7:F189,$C$7:C189,C189)-SUMIFS($G$7:G189,$C$7:C189,C189))</f>
        <v/>
      </c>
    </row>
    <row r="190">
      <c r="B190" s="41" t="n"/>
      <c r="C190" s="18" t="n"/>
      <c r="D190" s="18" t="n"/>
      <c r="E190" s="18" t="n"/>
      <c r="F190" s="37" t="n"/>
      <c r="G190" s="37" t="n"/>
      <c r="H190" s="59">
        <f>IF(C190="","",SUMIFS($F$7:F190,$C$7:C190,C190)-SUMIFS($G$7:G190,$C$7:C190,C190))</f>
        <v/>
      </c>
    </row>
    <row r="191">
      <c r="B191" s="41" t="n"/>
      <c r="C191" s="18" t="n"/>
      <c r="D191" s="18" t="n"/>
      <c r="E191" s="18" t="n"/>
      <c r="F191" s="37" t="n"/>
      <c r="G191" s="37" t="n"/>
      <c r="H191" s="59">
        <f>IF(C191="","",SUMIFS($F$7:F191,$C$7:C191,C191)-SUMIFS($G$7:G191,$C$7:C191,C191))</f>
        <v/>
      </c>
    </row>
    <row r="192">
      <c r="B192" s="41" t="n"/>
      <c r="C192" s="18" t="n"/>
      <c r="D192" s="18" t="n"/>
      <c r="E192" s="18" t="n"/>
      <c r="F192" s="37" t="n"/>
      <c r="G192" s="37" t="n"/>
      <c r="H192" s="59">
        <f>IF(C192="","",SUMIFS($F$7:F192,$C$7:C192,C192)-SUMIFS($G$7:G192,$C$7:C192,C192))</f>
        <v/>
      </c>
    </row>
    <row r="193">
      <c r="B193" s="41" t="n"/>
      <c r="C193" s="18" t="n"/>
      <c r="D193" s="18" t="n"/>
      <c r="E193" s="18" t="n"/>
      <c r="F193" s="37" t="n"/>
      <c r="G193" s="37" t="n"/>
      <c r="H193" s="59">
        <f>IF(C193="","",SUMIFS($F$7:F193,$C$7:C193,C193)-SUMIFS($G$7:G193,$C$7:C193,C193))</f>
        <v/>
      </c>
    </row>
    <row r="194">
      <c r="B194" s="41" t="n"/>
      <c r="C194" s="18" t="n"/>
      <c r="D194" s="18" t="n"/>
      <c r="E194" s="18" t="n"/>
      <c r="F194" s="37" t="n"/>
      <c r="G194" s="37" t="n"/>
      <c r="H194" s="59">
        <f>IF(C194="","",SUMIFS($F$7:F194,$C$7:C194,C194)-SUMIFS($G$7:G194,$C$7:C194,C194))</f>
        <v/>
      </c>
    </row>
    <row r="195">
      <c r="B195" s="41" t="n"/>
      <c r="C195" s="18" t="n"/>
      <c r="D195" s="18" t="n"/>
      <c r="E195" s="18" t="n"/>
      <c r="F195" s="37" t="n"/>
      <c r="G195" s="37" t="n"/>
      <c r="H195" s="59">
        <f>IF(C195="","",SUMIFS($F$7:F195,$C$7:C195,C195)-SUMIFS($G$7:G195,$C$7:C195,C195))</f>
        <v/>
      </c>
    </row>
    <row r="196">
      <c r="B196" s="41" t="n"/>
      <c r="C196" s="18" t="n"/>
      <c r="D196" s="18" t="n"/>
      <c r="E196" s="18" t="n"/>
      <c r="F196" s="37" t="n"/>
      <c r="G196" s="37" t="n"/>
      <c r="H196" s="59">
        <f>IF(C196="","",SUMIFS($F$7:F196,$C$7:C196,C196)-SUMIFS($G$7:G196,$C$7:C196,C196))</f>
        <v/>
      </c>
    </row>
    <row r="197">
      <c r="B197" s="41" t="n"/>
      <c r="C197" s="18" t="n"/>
      <c r="D197" s="18" t="n"/>
      <c r="E197" s="18" t="n"/>
      <c r="F197" s="37" t="n"/>
      <c r="G197" s="37" t="n"/>
      <c r="H197" s="59">
        <f>IF(C197="","",SUMIFS($F$7:F197,$C$7:C197,C197)-SUMIFS($G$7:G197,$C$7:C197,C197))</f>
        <v/>
      </c>
    </row>
    <row r="198">
      <c r="B198" s="41" t="n"/>
      <c r="C198" s="18" t="n"/>
      <c r="D198" s="18" t="n"/>
      <c r="E198" s="18" t="n"/>
      <c r="F198" s="37" t="n"/>
      <c r="G198" s="37" t="n"/>
      <c r="H198" s="59">
        <f>IF(C198="","",SUMIFS($F$7:F198,$C$7:C198,C198)-SUMIFS($G$7:G198,$C$7:C198,C198))</f>
        <v/>
      </c>
    </row>
    <row r="199">
      <c r="B199" s="41" t="n"/>
      <c r="C199" s="18" t="n"/>
      <c r="D199" s="18" t="n"/>
      <c r="E199" s="18" t="n"/>
      <c r="F199" s="37" t="n"/>
      <c r="G199" s="37" t="n"/>
      <c r="H199" s="59">
        <f>IF(C199="","",SUMIFS($F$7:F199,$C$7:C199,C199)-SUMIFS($G$7:G199,$C$7:C199,C199))</f>
        <v/>
      </c>
    </row>
    <row r="200">
      <c r="B200" s="41" t="n"/>
      <c r="C200" s="18" t="n"/>
      <c r="D200" s="18" t="n"/>
      <c r="E200" s="18" t="n"/>
      <c r="F200" s="37" t="n"/>
      <c r="G200" s="37" t="n"/>
      <c r="H200" s="59">
        <f>IF(C200="","",SUMIFS($F$7:F200,$C$7:C200,C200)-SUMIFS($G$7:G200,$C$7:C200,C200))</f>
        <v/>
      </c>
    </row>
    <row r="201">
      <c r="B201" s="41" t="n"/>
      <c r="C201" s="18" t="n"/>
      <c r="D201" s="18" t="n"/>
      <c r="E201" s="18" t="n"/>
      <c r="F201" s="37" t="n"/>
      <c r="G201" s="37" t="n"/>
      <c r="H201" s="59">
        <f>IF(C201="","",SUMIFS($F$7:F201,$C$7:C201,C201)-SUMIFS($G$7:G201,$C$7:C201,C201))</f>
        <v/>
      </c>
    </row>
    <row r="202">
      <c r="B202" s="41" t="n"/>
      <c r="C202" s="18" t="n"/>
      <c r="D202" s="18" t="n"/>
      <c r="E202" s="18" t="n"/>
      <c r="F202" s="37" t="n"/>
      <c r="G202" s="37" t="n"/>
      <c r="H202" s="59">
        <f>IF(C202="","",SUMIFS($F$7:F202,$C$7:C202,C202)-SUMIFS($G$7:G202,$C$7:C202,C202))</f>
        <v/>
      </c>
    </row>
    <row r="203">
      <c r="B203" s="41" t="n"/>
      <c r="C203" s="18" t="n"/>
      <c r="D203" s="18" t="n"/>
      <c r="E203" s="18" t="n"/>
      <c r="F203" s="37" t="n"/>
      <c r="G203" s="37" t="n"/>
      <c r="H203" s="59">
        <f>IF(C203="","",SUMIFS($F$7:F203,$C$7:C203,C203)-SUMIFS($G$7:G203,$C$7:C203,C203))</f>
        <v/>
      </c>
    </row>
    <row r="204">
      <c r="B204" s="41" t="n"/>
      <c r="C204" s="18" t="n"/>
      <c r="D204" s="18" t="n"/>
      <c r="E204" s="18" t="n"/>
      <c r="F204" s="37" t="n"/>
      <c r="G204" s="37" t="n"/>
      <c r="H204" s="59">
        <f>IF(C204="","",SUMIFS($F$7:F204,$C$7:C204,C204)-SUMIFS($G$7:G204,$C$7:C204,C204))</f>
        <v/>
      </c>
    </row>
    <row r="205">
      <c r="B205" s="41" t="n"/>
      <c r="C205" s="18" t="n"/>
      <c r="D205" s="18" t="n"/>
      <c r="E205" s="18" t="n"/>
      <c r="F205" s="37" t="n"/>
      <c r="G205" s="37" t="n"/>
      <c r="H205" s="59">
        <f>IF(C205="","",SUMIFS($F$7:F205,$C$7:C205,C205)-SUMIFS($G$7:G205,$C$7:C205,C205))</f>
        <v/>
      </c>
    </row>
    <row r="206">
      <c r="B206" s="41" t="n"/>
      <c r="C206" s="18" t="n"/>
      <c r="D206" s="18" t="n"/>
      <c r="E206" s="18" t="n"/>
      <c r="F206" s="37" t="n"/>
      <c r="G206" s="37" t="n"/>
      <c r="H206" s="59">
        <f>IF(C206="","",SUMIFS($F$7:F206,$C$7:C206,C206)-SUMIFS($G$7:G206,$C$7:C206,C206))</f>
        <v/>
      </c>
    </row>
    <row r="207">
      <c r="B207" s="41" t="n"/>
      <c r="C207" s="18" t="n"/>
      <c r="D207" s="18" t="n"/>
      <c r="E207" s="18" t="n"/>
      <c r="F207" s="37" t="n"/>
      <c r="G207" s="37" t="n"/>
      <c r="H207" s="59">
        <f>IF(C207="","",SUMIFS($F$7:F207,$C$7:C207,C207)-SUMIFS($G$7:G207,$C$7:C207,C207))</f>
        <v/>
      </c>
    </row>
    <row r="208">
      <c r="B208" s="41" t="n"/>
      <c r="C208" s="18" t="n"/>
      <c r="D208" s="18" t="n"/>
      <c r="E208" s="18" t="n"/>
      <c r="F208" s="37" t="n"/>
      <c r="G208" s="37" t="n"/>
      <c r="H208" s="59">
        <f>IF(C208="","",SUMIFS($F$7:F208,$C$7:C208,C208)-SUMIFS($G$7:G208,$C$7:C208,C208))</f>
        <v/>
      </c>
    </row>
    <row r="209">
      <c r="B209" s="41" t="n"/>
      <c r="C209" s="18" t="n"/>
      <c r="D209" s="18" t="n"/>
      <c r="E209" s="18" t="n"/>
      <c r="F209" s="37" t="n"/>
      <c r="G209" s="37" t="n"/>
      <c r="H209" s="59">
        <f>IF(C209="","",SUMIFS($F$7:F209,$C$7:C209,C209)-SUMIFS($G$7:G209,$C$7:C209,C209))</f>
        <v/>
      </c>
    </row>
    <row r="210">
      <c r="B210" s="41" t="n"/>
      <c r="C210" s="18" t="n"/>
      <c r="D210" s="18" t="n"/>
      <c r="E210" s="18" t="n"/>
      <c r="F210" s="37" t="n"/>
      <c r="G210" s="37" t="n"/>
      <c r="H210" s="59">
        <f>IF(C210="","",SUMIFS($F$7:F210,$C$7:C210,C210)-SUMIFS($G$7:G210,$C$7:C210,C210))</f>
        <v/>
      </c>
    </row>
    <row r="211">
      <c r="B211" s="41" t="n"/>
      <c r="C211" s="18" t="n"/>
      <c r="D211" s="18" t="n"/>
      <c r="E211" s="18" t="n"/>
      <c r="F211" s="37" t="n"/>
      <c r="G211" s="37" t="n"/>
      <c r="H211" s="59">
        <f>IF(C211="","",SUMIFS($F$7:F211,$C$7:C211,C211)-SUMIFS($G$7:G211,$C$7:C211,C211))</f>
        <v/>
      </c>
    </row>
    <row r="212">
      <c r="B212" s="41" t="n"/>
      <c r="C212" s="18" t="n"/>
      <c r="D212" s="18" t="n"/>
      <c r="E212" s="18" t="n"/>
      <c r="F212" s="37" t="n"/>
      <c r="G212" s="37" t="n"/>
      <c r="H212" s="59">
        <f>IF(C212="","",SUMIFS($F$7:F212,$C$7:C212,C212)-SUMIFS($G$7:G212,$C$7:C212,C212))</f>
        <v/>
      </c>
    </row>
    <row r="213">
      <c r="B213" s="41" t="n"/>
      <c r="C213" s="18" t="n"/>
      <c r="D213" s="18" t="n"/>
      <c r="E213" s="18" t="n"/>
      <c r="F213" s="37" t="n"/>
      <c r="G213" s="37" t="n"/>
      <c r="H213" s="59">
        <f>IF(C213="","",SUMIFS($F$7:F213,$C$7:C213,C213)-SUMIFS($G$7:G213,$C$7:C213,C213))</f>
        <v/>
      </c>
    </row>
    <row r="214">
      <c r="B214" s="41" t="n"/>
      <c r="C214" s="18" t="n"/>
      <c r="D214" s="18" t="n"/>
      <c r="E214" s="18" t="n"/>
      <c r="F214" s="37" t="n"/>
      <c r="G214" s="37" t="n"/>
      <c r="H214" s="59">
        <f>IF(C214="","",SUMIFS($F$7:F214,$C$7:C214,C214)-SUMIFS($G$7:G214,$C$7:C214,C214))</f>
        <v/>
      </c>
    </row>
    <row r="215">
      <c r="B215" s="41" t="n"/>
      <c r="C215" s="18" t="n"/>
      <c r="D215" s="18" t="n"/>
      <c r="E215" s="18" t="n"/>
      <c r="F215" s="37" t="n"/>
      <c r="G215" s="37" t="n"/>
      <c r="H215" s="59">
        <f>IF(C215="","",SUMIFS($F$7:F215,$C$7:C215,C215)-SUMIFS($G$7:G215,$C$7:C215,C215))</f>
        <v/>
      </c>
    </row>
    <row r="216">
      <c r="B216" s="41" t="n"/>
      <c r="C216" s="18" t="n"/>
      <c r="D216" s="18" t="n"/>
      <c r="E216" s="18" t="n"/>
      <c r="F216" s="37" t="n"/>
      <c r="G216" s="37" t="n"/>
      <c r="H216" s="59">
        <f>IF(C216="","",SUMIFS($F$7:F216,$C$7:C216,C216)-SUMIFS($G$7:G216,$C$7:C216,C216))</f>
        <v/>
      </c>
    </row>
    <row r="217">
      <c r="B217" s="41" t="n"/>
      <c r="C217" s="18" t="n"/>
      <c r="D217" s="18" t="n"/>
      <c r="E217" s="18" t="n"/>
      <c r="F217" s="37" t="n"/>
      <c r="G217" s="37" t="n"/>
      <c r="H217" s="59">
        <f>IF(C217="","",SUMIFS($F$7:F217,$C$7:C217,C217)-SUMIFS($G$7:G217,$C$7:C217,C217))</f>
        <v/>
      </c>
    </row>
    <row r="218">
      <c r="B218" s="41" t="n"/>
      <c r="C218" s="18" t="n"/>
      <c r="D218" s="18" t="n"/>
      <c r="E218" s="18" t="n"/>
      <c r="F218" s="37" t="n"/>
      <c r="G218" s="37" t="n"/>
      <c r="H218" s="59">
        <f>IF(C218="","",SUMIFS($F$7:F218,$C$7:C218,C218)-SUMIFS($G$7:G218,$C$7:C218,C218))</f>
        <v/>
      </c>
    </row>
    <row r="219">
      <c r="B219" s="41" t="n"/>
      <c r="C219" s="18" t="n"/>
      <c r="D219" s="18" t="n"/>
      <c r="E219" s="18" t="n"/>
      <c r="F219" s="37" t="n"/>
      <c r="G219" s="37" t="n"/>
      <c r="H219" s="59">
        <f>IF(C219="","",SUMIFS($F$7:F219,$C$7:C219,C219)-SUMIFS($G$7:G219,$C$7:C219,C219))</f>
        <v/>
      </c>
    </row>
    <row r="220">
      <c r="B220" s="41" t="n"/>
      <c r="C220" s="18" t="n"/>
      <c r="D220" s="18" t="n"/>
      <c r="E220" s="18" t="n"/>
      <c r="F220" s="37" t="n"/>
      <c r="G220" s="37" t="n"/>
      <c r="H220" s="59">
        <f>IF(C220="","",SUMIFS($F$7:F220,$C$7:C220,C220)-SUMIFS($G$7:G220,$C$7:C220,C220))</f>
        <v/>
      </c>
    </row>
    <row r="221">
      <c r="B221" s="41" t="n"/>
      <c r="C221" s="18" t="n"/>
      <c r="D221" s="18" t="n"/>
      <c r="E221" s="18" t="n"/>
      <c r="F221" s="37" t="n"/>
      <c r="G221" s="37" t="n"/>
      <c r="H221" s="59">
        <f>IF(C221="","",SUMIFS($F$7:F221,$C$7:C221,C221)-SUMIFS($G$7:G221,$C$7:C221,C221))</f>
        <v/>
      </c>
    </row>
    <row r="222">
      <c r="B222" s="41" t="n"/>
      <c r="C222" s="18" t="n"/>
      <c r="D222" s="18" t="n"/>
      <c r="E222" s="18" t="n"/>
      <c r="F222" s="37" t="n"/>
      <c r="G222" s="37" t="n"/>
      <c r="H222" s="59">
        <f>IF(C222="","",SUMIFS($F$7:F222,$C$7:C222,C222)-SUMIFS($G$7:G222,$C$7:C222,C222))</f>
        <v/>
      </c>
    </row>
    <row r="223">
      <c r="B223" s="41" t="n"/>
      <c r="C223" s="18" t="n"/>
      <c r="D223" s="18" t="n"/>
      <c r="E223" s="18" t="n"/>
      <c r="F223" s="37" t="n"/>
      <c r="G223" s="37" t="n"/>
      <c r="H223" s="59">
        <f>IF(C223="","",SUMIFS($F$7:F223,$C$7:C223,C223)-SUMIFS($G$7:G223,$C$7:C223,C223))</f>
        <v/>
      </c>
    </row>
    <row r="224">
      <c r="B224" s="41" t="n"/>
      <c r="C224" s="18" t="n"/>
      <c r="D224" s="18" t="n"/>
      <c r="E224" s="18" t="n"/>
      <c r="F224" s="37" t="n"/>
      <c r="G224" s="37" t="n"/>
      <c r="H224" s="59">
        <f>IF(C224="","",SUMIFS($F$7:F224,$C$7:C224,C224)-SUMIFS($G$7:G224,$C$7:C224,C224))</f>
        <v/>
      </c>
    </row>
    <row r="225">
      <c r="B225" s="41" t="n"/>
      <c r="C225" s="18" t="n"/>
      <c r="D225" s="18" t="n"/>
      <c r="E225" s="18" t="n"/>
      <c r="F225" s="37" t="n"/>
      <c r="G225" s="37" t="n"/>
      <c r="H225" s="59">
        <f>IF(C225="","",SUMIFS($F$7:F225,$C$7:C225,C225)-SUMIFS($G$7:G225,$C$7:C225,C225))</f>
        <v/>
      </c>
    </row>
    <row r="226">
      <c r="B226" s="41" t="n"/>
      <c r="C226" s="18" t="n"/>
      <c r="D226" s="18" t="n"/>
      <c r="E226" s="18" t="n"/>
      <c r="F226" s="37" t="n"/>
      <c r="G226" s="37" t="n"/>
      <c r="H226" s="59">
        <f>IF(C226="","",SUMIFS($F$7:F226,$C$7:C226,C226)-SUMIFS($G$7:G226,$C$7:C226,C226))</f>
        <v/>
      </c>
    </row>
    <row r="227">
      <c r="B227" s="41" t="n"/>
      <c r="C227" s="18" t="n"/>
      <c r="D227" s="18" t="n"/>
      <c r="E227" s="18" t="n"/>
      <c r="F227" s="37" t="n"/>
      <c r="G227" s="37" t="n"/>
      <c r="H227" s="59">
        <f>IF(C227="","",SUMIFS($F$7:F227,$C$7:C227,C227)-SUMIFS($G$7:G227,$C$7:C227,C227))</f>
        <v/>
      </c>
    </row>
    <row r="228">
      <c r="B228" s="41" t="n"/>
      <c r="C228" s="18" t="n"/>
      <c r="D228" s="18" t="n"/>
      <c r="E228" s="18" t="n"/>
      <c r="F228" s="37" t="n"/>
      <c r="G228" s="37" t="n"/>
      <c r="H228" s="59">
        <f>IF(C228="","",SUMIFS($F$7:F228,$C$7:C228,C228)-SUMIFS($G$7:G228,$C$7:C228,C228))</f>
        <v/>
      </c>
    </row>
    <row r="229">
      <c r="B229" s="41" t="n"/>
      <c r="C229" s="18" t="n"/>
      <c r="D229" s="18" t="n"/>
      <c r="E229" s="18" t="n"/>
      <c r="F229" s="37" t="n"/>
      <c r="G229" s="37" t="n"/>
      <c r="H229" s="59">
        <f>IF(C229="","",SUMIFS($F$7:F229,$C$7:C229,C229)-SUMIFS($G$7:G229,$C$7:C229,C229))</f>
        <v/>
      </c>
    </row>
    <row r="230">
      <c r="B230" s="41" t="n"/>
      <c r="C230" s="18" t="n"/>
      <c r="D230" s="18" t="n"/>
      <c r="E230" s="18" t="n"/>
      <c r="F230" s="37" t="n"/>
      <c r="G230" s="37" t="n"/>
      <c r="H230" s="59">
        <f>IF(C230="","",SUMIFS($F$7:F230,$C$7:C230,C230)-SUMIFS($G$7:G230,$C$7:C230,C230))</f>
        <v/>
      </c>
    </row>
    <row r="231">
      <c r="B231" s="41" t="n"/>
      <c r="C231" s="18" t="n"/>
      <c r="D231" s="18" t="n"/>
      <c r="E231" s="18" t="n"/>
      <c r="F231" s="37" t="n"/>
      <c r="G231" s="37" t="n"/>
      <c r="H231" s="59">
        <f>IF(C231="","",SUMIFS($F$7:F231,$C$7:C231,C231)-SUMIFS($G$7:G231,$C$7:C231,C231))</f>
        <v/>
      </c>
    </row>
    <row r="232">
      <c r="B232" s="41" t="n"/>
      <c r="C232" s="18" t="n"/>
      <c r="D232" s="18" t="n"/>
      <c r="E232" s="18" t="n"/>
      <c r="F232" s="37" t="n"/>
      <c r="G232" s="37" t="n"/>
      <c r="H232" s="59">
        <f>IF(C232="","",SUMIFS($F$7:F232,$C$7:C232,C232)-SUMIFS($G$7:G232,$C$7:C232,C232))</f>
        <v/>
      </c>
    </row>
    <row r="233">
      <c r="B233" s="41" t="n"/>
      <c r="C233" s="18" t="n"/>
      <c r="D233" s="18" t="n"/>
      <c r="E233" s="18" t="n"/>
      <c r="F233" s="37" t="n"/>
      <c r="G233" s="37" t="n"/>
      <c r="H233" s="59">
        <f>IF(C233="","",SUMIFS($F$7:F233,$C$7:C233,C233)-SUMIFS($G$7:G233,$C$7:C233,C233))</f>
        <v/>
      </c>
    </row>
    <row r="234">
      <c r="B234" s="41" t="n"/>
      <c r="C234" s="18" t="n"/>
      <c r="D234" s="18" t="n"/>
      <c r="E234" s="18" t="n"/>
      <c r="F234" s="37" t="n"/>
      <c r="G234" s="37" t="n"/>
      <c r="H234" s="59">
        <f>IF(C234="","",SUMIFS($F$7:F234,$C$7:C234,C234)-SUMIFS($G$7:G234,$C$7:C234,C234))</f>
        <v/>
      </c>
    </row>
    <row r="235">
      <c r="B235" s="41" t="n"/>
      <c r="C235" s="18" t="n"/>
      <c r="D235" s="18" t="n"/>
      <c r="E235" s="18" t="n"/>
      <c r="F235" s="37" t="n"/>
      <c r="G235" s="37" t="n"/>
      <c r="H235" s="59">
        <f>IF(C235="","",SUMIFS($F$7:F235,$C$7:C235,C235)-SUMIFS($G$7:G235,$C$7:C235,C235))</f>
        <v/>
      </c>
    </row>
    <row r="236">
      <c r="B236" s="41" t="n"/>
      <c r="C236" s="18" t="n"/>
      <c r="D236" s="18" t="n"/>
      <c r="E236" s="18" t="n"/>
      <c r="F236" s="37" t="n"/>
      <c r="G236" s="37" t="n"/>
      <c r="H236" s="59">
        <f>IF(C236="","",SUMIFS($F$7:F236,$C$7:C236,C236)-SUMIFS($G$7:G236,$C$7:C236,C236))</f>
        <v/>
      </c>
    </row>
    <row r="237">
      <c r="B237" s="41" t="n"/>
      <c r="C237" s="18" t="n"/>
      <c r="D237" s="18" t="n"/>
      <c r="E237" s="18" t="n"/>
      <c r="F237" s="37" t="n"/>
      <c r="G237" s="37" t="n"/>
      <c r="H237" s="59">
        <f>IF(C237="","",SUMIFS($F$7:F237,$C$7:C237,C237)-SUMIFS($G$7:G237,$C$7:C237,C237))</f>
        <v/>
      </c>
    </row>
    <row r="238">
      <c r="B238" s="41" t="n"/>
      <c r="C238" s="18" t="n"/>
      <c r="D238" s="18" t="n"/>
      <c r="E238" s="18" t="n"/>
      <c r="F238" s="37" t="n"/>
      <c r="G238" s="37" t="n"/>
      <c r="H238" s="59">
        <f>IF(C238="","",SUMIFS($F$7:F238,$C$7:C238,C238)-SUMIFS($G$7:G238,$C$7:C238,C238))</f>
        <v/>
      </c>
    </row>
    <row r="239">
      <c r="B239" s="41" t="n"/>
      <c r="C239" s="18" t="n"/>
      <c r="D239" s="18" t="n"/>
      <c r="E239" s="18" t="n"/>
      <c r="F239" s="37" t="n"/>
      <c r="G239" s="37" t="n"/>
      <c r="H239" s="59">
        <f>IF(C239="","",SUMIFS($F$7:F239,$C$7:C239,C239)-SUMIFS($G$7:G239,$C$7:C239,C239))</f>
        <v/>
      </c>
    </row>
    <row r="240">
      <c r="B240" s="41" t="n"/>
      <c r="C240" s="18" t="n"/>
      <c r="D240" s="18" t="n"/>
      <c r="E240" s="18" t="n"/>
      <c r="F240" s="37" t="n"/>
      <c r="G240" s="37" t="n"/>
      <c r="H240" s="59">
        <f>IF(C240="","",SUMIFS($F$7:F240,$C$7:C240,C240)-SUMIFS($G$7:G240,$C$7:C240,C240))</f>
        <v/>
      </c>
    </row>
    <row r="241">
      <c r="B241" s="41" t="n"/>
      <c r="C241" s="18" t="n"/>
      <c r="D241" s="18" t="n"/>
      <c r="E241" s="18" t="n"/>
      <c r="F241" s="37" t="n"/>
      <c r="G241" s="37" t="n"/>
      <c r="H241" s="59">
        <f>IF(C241="","",SUMIFS($F$7:F241,$C$7:C241,C241)-SUMIFS($G$7:G241,$C$7:C241,C241))</f>
        <v/>
      </c>
    </row>
    <row r="242">
      <c r="B242" s="41" t="n"/>
      <c r="C242" s="18" t="n"/>
      <c r="D242" s="18" t="n"/>
      <c r="E242" s="18" t="n"/>
      <c r="F242" s="37" t="n"/>
      <c r="G242" s="37" t="n"/>
      <c r="H242" s="59">
        <f>IF(C242="","",SUMIFS($F$7:F242,$C$7:C242,C242)-SUMIFS($G$7:G242,$C$7:C242,C242))</f>
        <v/>
      </c>
    </row>
    <row r="243">
      <c r="B243" s="41" t="n"/>
      <c r="C243" s="18" t="n"/>
      <c r="D243" s="18" t="n"/>
      <c r="E243" s="18" t="n"/>
      <c r="F243" s="37" t="n"/>
      <c r="G243" s="37" t="n"/>
      <c r="H243" s="59">
        <f>IF(C243="","",SUMIFS($F$7:F243,$C$7:C243,C243)-SUMIFS($G$7:G243,$C$7:C243,C243))</f>
        <v/>
      </c>
    </row>
    <row r="244">
      <c r="B244" s="41" t="n"/>
      <c r="C244" s="18" t="n"/>
      <c r="D244" s="18" t="n"/>
      <c r="E244" s="18" t="n"/>
      <c r="F244" s="37" t="n"/>
      <c r="G244" s="37" t="n"/>
      <c r="H244" s="59">
        <f>IF(C244="","",SUMIFS($F$7:F244,$C$7:C244,C244)-SUMIFS($G$7:G244,$C$7:C244,C244))</f>
        <v/>
      </c>
    </row>
    <row r="245">
      <c r="B245" s="41" t="n"/>
      <c r="C245" s="18" t="n"/>
      <c r="D245" s="18" t="n"/>
      <c r="E245" s="18" t="n"/>
      <c r="F245" s="37" t="n"/>
      <c r="G245" s="37" t="n"/>
      <c r="H245" s="59">
        <f>IF(C245="","",SUMIFS($F$7:F245,$C$7:C245,C245)-SUMIFS($G$7:G245,$C$7:C245,C245))</f>
        <v/>
      </c>
    </row>
    <row r="246">
      <c r="B246" s="41" t="n"/>
      <c r="C246" s="18" t="n"/>
      <c r="D246" s="18" t="n"/>
      <c r="E246" s="18" t="n"/>
      <c r="F246" s="37" t="n"/>
      <c r="G246" s="37" t="n"/>
      <c r="H246" s="59">
        <f>IF(C246="","",SUMIFS($F$7:F246,$C$7:C246,C246)-SUMIFS($G$7:G246,$C$7:C246,C246))</f>
        <v/>
      </c>
    </row>
    <row r="247">
      <c r="B247" s="41" t="n"/>
      <c r="C247" s="18" t="n"/>
      <c r="D247" s="18" t="n"/>
      <c r="E247" s="18" t="n"/>
      <c r="F247" s="37" t="n"/>
      <c r="G247" s="37" t="n"/>
      <c r="H247" s="59">
        <f>IF(C247="","",SUMIFS($F$7:F247,$C$7:C247,C247)-SUMIFS($G$7:G247,$C$7:C247,C247))</f>
        <v/>
      </c>
    </row>
    <row r="248">
      <c r="B248" s="41" t="n"/>
      <c r="C248" s="18" t="n"/>
      <c r="D248" s="18" t="n"/>
      <c r="E248" s="18" t="n"/>
      <c r="F248" s="37" t="n"/>
      <c r="G248" s="37" t="n"/>
      <c r="H248" s="59">
        <f>IF(C248="","",SUMIFS($F$7:F248,$C$7:C248,C248)-SUMIFS($G$7:G248,$C$7:C248,C248))</f>
        <v/>
      </c>
    </row>
    <row r="249">
      <c r="B249" s="41" t="n"/>
      <c r="C249" s="18" t="n"/>
      <c r="D249" s="18" t="n"/>
      <c r="E249" s="18" t="n"/>
      <c r="F249" s="37" t="n"/>
      <c r="G249" s="37" t="n"/>
      <c r="H249" s="59">
        <f>IF(C249="","",SUMIFS($F$7:F249,$C$7:C249,C249)-SUMIFS($G$7:G249,$C$7:C249,C249))</f>
        <v/>
      </c>
    </row>
    <row r="250">
      <c r="B250" s="41" t="n"/>
      <c r="C250" s="18" t="n"/>
      <c r="D250" s="18" t="n"/>
      <c r="E250" s="18" t="n"/>
      <c r="F250" s="37" t="n"/>
      <c r="G250" s="37" t="n"/>
      <c r="H250" s="59">
        <f>IF(C250="","",SUMIFS($F$7:F250,$C$7:C250,C250)-SUMIFS($G$7:G250,$C$7:C250,C250))</f>
        <v/>
      </c>
    </row>
    <row r="251">
      <c r="B251" s="41" t="n"/>
      <c r="C251" s="18" t="n"/>
      <c r="D251" s="18" t="n"/>
      <c r="E251" s="18" t="n"/>
      <c r="F251" s="37" t="n"/>
      <c r="G251" s="37" t="n"/>
      <c r="H251" s="59">
        <f>IF(C251="","",SUMIFS($F$7:F251,$C$7:C251,C251)-SUMIFS($G$7:G251,$C$7:C251,C251))</f>
        <v/>
      </c>
    </row>
    <row r="252">
      <c r="B252" s="41" t="n"/>
      <c r="C252" s="18" t="n"/>
      <c r="D252" s="18" t="n"/>
      <c r="E252" s="18" t="n"/>
      <c r="F252" s="37" t="n"/>
      <c r="G252" s="37" t="n"/>
      <c r="H252" s="59">
        <f>IF(C252="","",SUMIFS($F$7:F252,$C$7:C252,C252)-SUMIFS($G$7:G252,$C$7:C252,C252))</f>
        <v/>
      </c>
    </row>
    <row r="253">
      <c r="B253" s="41" t="n"/>
      <c r="C253" s="18" t="n"/>
      <c r="D253" s="18" t="n"/>
      <c r="E253" s="18" t="n"/>
      <c r="F253" s="37" t="n"/>
      <c r="G253" s="37" t="n"/>
      <c r="H253" s="59">
        <f>IF(C253="","",SUMIFS($F$7:F253,$C$7:C253,C253)-SUMIFS($G$7:G253,$C$7:C253,C253))</f>
        <v/>
      </c>
    </row>
    <row r="254">
      <c r="B254" s="41" t="n"/>
      <c r="C254" s="18" t="n"/>
      <c r="D254" s="18" t="n"/>
      <c r="E254" s="18" t="n"/>
      <c r="F254" s="37" t="n"/>
      <c r="G254" s="37" t="n"/>
      <c r="H254" s="59">
        <f>IF(C254="","",SUMIFS($F$7:F254,$C$7:C254,C254)-SUMIFS($G$7:G254,$C$7:C254,C254))</f>
        <v/>
      </c>
    </row>
    <row r="255">
      <c r="B255" s="41" t="n"/>
      <c r="C255" s="18" t="n"/>
      <c r="D255" s="18" t="n"/>
      <c r="E255" s="18" t="n"/>
      <c r="F255" s="37" t="n"/>
      <c r="G255" s="37" t="n"/>
      <c r="H255" s="59">
        <f>IF(C255="","",SUMIFS($F$7:F255,$C$7:C255,C255)-SUMIFS($G$7:G255,$C$7:C255,C255))</f>
        <v/>
      </c>
    </row>
    <row r="256">
      <c r="B256" s="41" t="n"/>
      <c r="C256" s="18" t="n"/>
      <c r="D256" s="18" t="n"/>
      <c r="E256" s="18" t="n"/>
      <c r="F256" s="37" t="n"/>
      <c r="G256" s="37" t="n"/>
      <c r="H256" s="59">
        <f>IF(C256="","",SUMIFS($F$7:F256,$C$7:C256,C256)-SUMIFS($G$7:G256,$C$7:C256,C256))</f>
        <v/>
      </c>
    </row>
    <row r="257">
      <c r="B257" s="41" t="n"/>
      <c r="C257" s="18" t="n"/>
      <c r="D257" s="18" t="n"/>
      <c r="E257" s="18" t="n"/>
      <c r="F257" s="37" t="n"/>
      <c r="G257" s="37" t="n"/>
      <c r="H257" s="59">
        <f>IF(C257="","",SUMIFS($F$7:F257,$C$7:C257,C257)-SUMIFS($G$7:G257,$C$7:C257,C257))</f>
        <v/>
      </c>
    </row>
    <row r="258">
      <c r="B258" s="41" t="n"/>
      <c r="C258" s="18" t="n"/>
      <c r="D258" s="18" t="n"/>
      <c r="E258" s="18" t="n"/>
      <c r="F258" s="37" t="n"/>
      <c r="G258" s="37" t="n"/>
      <c r="H258" s="59">
        <f>IF(C258="","",SUMIFS($F$7:F258,$C$7:C258,C258)-SUMIFS($G$7:G258,$C$7:C258,C258))</f>
        <v/>
      </c>
    </row>
    <row r="259">
      <c r="B259" s="41" t="n"/>
      <c r="C259" s="18" t="n"/>
      <c r="D259" s="18" t="n"/>
      <c r="E259" s="18" t="n"/>
      <c r="F259" s="37" t="n"/>
      <c r="G259" s="37" t="n"/>
      <c r="H259" s="59">
        <f>IF(C259="","",SUMIFS($F$7:F259,$C$7:C259,C259)-SUMIFS($G$7:G259,$C$7:C259,C259))</f>
        <v/>
      </c>
    </row>
    <row r="260">
      <c r="B260" s="41" t="n"/>
      <c r="C260" s="18" t="n"/>
      <c r="D260" s="18" t="n"/>
      <c r="E260" s="18" t="n"/>
      <c r="F260" s="37" t="n"/>
      <c r="G260" s="37" t="n"/>
      <c r="H260" s="59">
        <f>IF(C260="","",SUMIFS($F$7:F260,$C$7:C260,C260)-SUMIFS($G$7:G260,$C$7:C260,C260))</f>
        <v/>
      </c>
    </row>
    <row r="261">
      <c r="B261" s="41" t="n"/>
      <c r="C261" s="18" t="n"/>
      <c r="D261" s="18" t="n"/>
      <c r="E261" s="18" t="n"/>
      <c r="F261" s="37" t="n"/>
      <c r="G261" s="37" t="n"/>
      <c r="H261" s="59">
        <f>IF(C261="","",SUMIFS($F$7:F261,$C$7:C261,C261)-SUMIFS($G$7:G261,$C$7:C261,C261))</f>
        <v/>
      </c>
    </row>
    <row r="262">
      <c r="B262" s="41" t="n"/>
      <c r="C262" s="18" t="n"/>
      <c r="D262" s="18" t="n"/>
      <c r="E262" s="18" t="n"/>
      <c r="F262" s="37" t="n"/>
      <c r="G262" s="37" t="n"/>
      <c r="H262" s="59">
        <f>IF(C262="","",SUMIFS($F$7:F262,$C$7:C262,C262)-SUMIFS($G$7:G262,$C$7:C262,C262))</f>
        <v/>
      </c>
    </row>
    <row r="263">
      <c r="B263" s="41" t="n"/>
      <c r="C263" s="18" t="n"/>
      <c r="D263" s="18" t="n"/>
      <c r="E263" s="18" t="n"/>
      <c r="F263" s="37" t="n"/>
      <c r="G263" s="37" t="n"/>
      <c r="H263" s="59">
        <f>IF(C263="","",SUMIFS($F$7:F263,$C$7:C263,C263)-SUMIFS($G$7:G263,$C$7:C263,C263))</f>
        <v/>
      </c>
    </row>
    <row r="264">
      <c r="B264" s="41" t="n"/>
      <c r="C264" s="18" t="n"/>
      <c r="D264" s="18" t="n"/>
      <c r="E264" s="18" t="n"/>
      <c r="F264" s="37" t="n"/>
      <c r="G264" s="37" t="n"/>
      <c r="H264" s="59">
        <f>IF(C264="","",SUMIFS($F$7:F264,$C$7:C264,C264)-SUMIFS($G$7:G264,$C$7:C264,C264))</f>
        <v/>
      </c>
    </row>
    <row r="265">
      <c r="B265" s="41" t="n"/>
      <c r="C265" s="18" t="n"/>
      <c r="D265" s="18" t="n"/>
      <c r="E265" s="18" t="n"/>
      <c r="F265" s="37" t="n"/>
      <c r="G265" s="37" t="n"/>
      <c r="H265" s="59">
        <f>IF(C265="","",SUMIFS($F$7:F265,$C$7:C265,C265)-SUMIFS($G$7:G265,$C$7:C265,C265))</f>
        <v/>
      </c>
    </row>
    <row r="266">
      <c r="B266" s="41" t="n"/>
      <c r="C266" s="18" t="n"/>
      <c r="D266" s="18" t="n"/>
      <c r="E266" s="18" t="n"/>
      <c r="F266" s="37" t="n"/>
      <c r="G266" s="37" t="n"/>
      <c r="H266" s="59">
        <f>IF(C266="","",SUMIFS($F$7:F266,$C$7:C266,C266)-SUMIFS($G$7:G266,$C$7:C266,C266))</f>
        <v/>
      </c>
    </row>
    <row r="267">
      <c r="B267" s="41" t="n"/>
      <c r="C267" s="18" t="n"/>
      <c r="D267" s="18" t="n"/>
      <c r="E267" s="18" t="n"/>
      <c r="F267" s="37" t="n"/>
      <c r="G267" s="37" t="n"/>
      <c r="H267" s="59">
        <f>IF(C267="","",SUMIFS($F$7:F267,$C$7:C267,C267)-SUMIFS($G$7:G267,$C$7:C267,C267))</f>
        <v/>
      </c>
    </row>
    <row r="268">
      <c r="B268" s="41" t="n"/>
      <c r="C268" s="18" t="n"/>
      <c r="D268" s="18" t="n"/>
      <c r="E268" s="18" t="n"/>
      <c r="F268" s="37" t="n"/>
      <c r="G268" s="37" t="n"/>
      <c r="H268" s="59">
        <f>IF(C268="","",SUMIFS($F$7:F268,$C$7:C268,C268)-SUMIFS($G$7:G268,$C$7:C268,C268))</f>
        <v/>
      </c>
    </row>
    <row r="269">
      <c r="B269" s="41" t="n"/>
      <c r="C269" s="18" t="n"/>
      <c r="D269" s="18" t="n"/>
      <c r="E269" s="18" t="n"/>
      <c r="F269" s="37" t="n"/>
      <c r="G269" s="37" t="n"/>
      <c r="H269" s="59">
        <f>IF(C269="","",SUMIFS($F$7:F269,$C$7:C269,C269)-SUMIFS($G$7:G269,$C$7:C269,C269))</f>
        <v/>
      </c>
    </row>
    <row r="270">
      <c r="B270" s="41" t="n"/>
      <c r="C270" s="18" t="n"/>
      <c r="D270" s="18" t="n"/>
      <c r="E270" s="18" t="n"/>
      <c r="F270" s="37" t="n"/>
      <c r="G270" s="37" t="n"/>
      <c r="H270" s="59">
        <f>IF(C270="","",SUMIFS($F$7:F270,$C$7:C270,C270)-SUMIFS($G$7:G270,$C$7:C270,C270))</f>
        <v/>
      </c>
    </row>
    <row r="271">
      <c r="B271" s="41" t="n"/>
      <c r="C271" s="18" t="n"/>
      <c r="D271" s="18" t="n"/>
      <c r="E271" s="18" t="n"/>
      <c r="F271" s="37" t="n"/>
      <c r="G271" s="37" t="n"/>
      <c r="H271" s="59">
        <f>IF(C271="","",SUMIFS($F$7:F271,$C$7:C271,C271)-SUMIFS($G$7:G271,$C$7:C271,C271))</f>
        <v/>
      </c>
    </row>
    <row r="272">
      <c r="B272" s="41" t="n"/>
      <c r="C272" s="18" t="n"/>
      <c r="D272" s="18" t="n"/>
      <c r="E272" s="18" t="n"/>
      <c r="F272" s="37" t="n"/>
      <c r="G272" s="37" t="n"/>
      <c r="H272" s="59">
        <f>IF(C272="","",SUMIFS($F$7:F272,$C$7:C272,C272)-SUMIFS($G$7:G272,$C$7:C272,C272))</f>
        <v/>
      </c>
    </row>
    <row r="273">
      <c r="B273" s="41" t="n"/>
      <c r="C273" s="18" t="n"/>
      <c r="D273" s="18" t="n"/>
      <c r="E273" s="18" t="n"/>
      <c r="F273" s="37" t="n"/>
      <c r="G273" s="37" t="n"/>
      <c r="H273" s="59">
        <f>IF(C273="","",SUMIFS($F$7:F273,$C$7:C273,C273)-SUMIFS($G$7:G273,$C$7:C273,C273))</f>
        <v/>
      </c>
    </row>
    <row r="274">
      <c r="B274" s="41" t="n"/>
      <c r="C274" s="18" t="n"/>
      <c r="D274" s="18" t="n"/>
      <c r="E274" s="18" t="n"/>
      <c r="F274" s="37" t="n"/>
      <c r="G274" s="37" t="n"/>
      <c r="H274" s="59">
        <f>IF(C274="","",SUMIFS($F$7:F274,$C$7:C274,C274)-SUMIFS($G$7:G274,$C$7:C274,C274))</f>
        <v/>
      </c>
    </row>
    <row r="275">
      <c r="B275" s="41" t="n"/>
      <c r="C275" s="18" t="n"/>
      <c r="D275" s="18" t="n"/>
      <c r="E275" s="18" t="n"/>
      <c r="F275" s="37" t="n"/>
      <c r="G275" s="37" t="n"/>
      <c r="H275" s="59">
        <f>IF(C275="","",SUMIFS($F$7:F275,$C$7:C275,C275)-SUMIFS($G$7:G275,$C$7:C275,C275))</f>
        <v/>
      </c>
    </row>
    <row r="276">
      <c r="B276" s="41" t="n"/>
      <c r="C276" s="18" t="n"/>
      <c r="D276" s="18" t="n"/>
      <c r="E276" s="18" t="n"/>
      <c r="F276" s="37" t="n"/>
      <c r="G276" s="37" t="n"/>
      <c r="H276" s="59">
        <f>IF(C276="","",SUMIFS($F$7:F276,$C$7:C276,C276)-SUMIFS($G$7:G276,$C$7:C276,C276))</f>
        <v/>
      </c>
    </row>
    <row r="277">
      <c r="B277" s="41" t="n"/>
      <c r="C277" s="18" t="n"/>
      <c r="D277" s="18" t="n"/>
      <c r="E277" s="18" t="n"/>
      <c r="F277" s="37" t="n"/>
      <c r="G277" s="37" t="n"/>
      <c r="H277" s="59">
        <f>IF(C277="","",SUMIFS($F$7:F277,$C$7:C277,C277)-SUMIFS($G$7:G277,$C$7:C277,C277))</f>
        <v/>
      </c>
    </row>
    <row r="278">
      <c r="B278" s="41" t="n"/>
      <c r="C278" s="18" t="n"/>
      <c r="D278" s="18" t="n"/>
      <c r="E278" s="18" t="n"/>
      <c r="F278" s="37" t="n"/>
      <c r="G278" s="37" t="n"/>
      <c r="H278" s="59">
        <f>IF(C278="","",SUMIFS($F$7:F278,$C$7:C278,C278)-SUMIFS($G$7:G278,$C$7:C278,C278))</f>
        <v/>
      </c>
    </row>
    <row r="279">
      <c r="B279" s="41" t="n"/>
      <c r="C279" s="18" t="n"/>
      <c r="D279" s="18" t="n"/>
      <c r="E279" s="18" t="n"/>
      <c r="F279" s="37" t="n"/>
      <c r="G279" s="37" t="n"/>
      <c r="H279" s="59">
        <f>IF(C279="","",SUMIFS($F$7:F279,$C$7:C279,C279)-SUMIFS($G$7:G279,$C$7:C279,C279))</f>
        <v/>
      </c>
    </row>
    <row r="280">
      <c r="B280" s="41" t="n"/>
      <c r="C280" s="18" t="n"/>
      <c r="D280" s="18" t="n"/>
      <c r="E280" s="18" t="n"/>
      <c r="F280" s="37" t="n"/>
      <c r="G280" s="37" t="n"/>
      <c r="H280" s="59">
        <f>IF(C280="","",SUMIFS($F$7:F280,$C$7:C280,C280)-SUMIFS($G$7:G280,$C$7:C280,C280))</f>
        <v/>
      </c>
    </row>
    <row r="281">
      <c r="B281" s="41" t="n"/>
      <c r="C281" s="18" t="n"/>
      <c r="D281" s="18" t="n"/>
      <c r="E281" s="18" t="n"/>
      <c r="F281" s="37" t="n"/>
      <c r="G281" s="37" t="n"/>
      <c r="H281" s="59">
        <f>IF(C281="","",SUMIFS($F$7:F281,$C$7:C281,C281)-SUMIFS($G$7:G281,$C$7:C281,C281))</f>
        <v/>
      </c>
    </row>
    <row r="282">
      <c r="B282" s="41" t="n"/>
      <c r="C282" s="18" t="n"/>
      <c r="D282" s="18" t="n"/>
      <c r="E282" s="18" t="n"/>
      <c r="F282" s="37" t="n"/>
      <c r="G282" s="37" t="n"/>
      <c r="H282" s="59">
        <f>IF(C282="","",SUMIFS($F$7:F282,$C$7:C282,C282)-SUMIFS($G$7:G282,$C$7:C282,C282))</f>
        <v/>
      </c>
    </row>
    <row r="283">
      <c r="B283" s="41" t="n"/>
      <c r="C283" s="18" t="n"/>
      <c r="D283" s="18" t="n"/>
      <c r="E283" s="18" t="n"/>
      <c r="F283" s="37" t="n"/>
      <c r="G283" s="37" t="n"/>
      <c r="H283" s="59">
        <f>IF(C283="","",SUMIFS($F$7:F283,$C$7:C283,C283)-SUMIFS($G$7:G283,$C$7:C283,C283))</f>
        <v/>
      </c>
    </row>
    <row r="284">
      <c r="B284" s="41" t="n"/>
      <c r="C284" s="18" t="n"/>
      <c r="D284" s="18" t="n"/>
      <c r="E284" s="18" t="n"/>
      <c r="F284" s="37" t="n"/>
      <c r="G284" s="37" t="n"/>
      <c r="H284" s="59">
        <f>IF(C284="","",SUMIFS($F$7:F284,$C$7:C284,C284)-SUMIFS($G$7:G284,$C$7:C284,C284))</f>
        <v/>
      </c>
    </row>
    <row r="285">
      <c r="B285" s="41" t="n"/>
      <c r="C285" s="18" t="n"/>
      <c r="D285" s="18" t="n"/>
      <c r="E285" s="18" t="n"/>
      <c r="F285" s="37" t="n"/>
      <c r="G285" s="37" t="n"/>
      <c r="H285" s="59">
        <f>IF(C285="","",SUMIFS($F$7:F285,$C$7:C285,C285)-SUMIFS($G$7:G285,$C$7:C285,C285))</f>
        <v/>
      </c>
    </row>
    <row r="286">
      <c r="B286" s="41" t="n"/>
      <c r="C286" s="18" t="n"/>
      <c r="D286" s="18" t="n"/>
      <c r="E286" s="18" t="n"/>
      <c r="F286" s="37" t="n"/>
      <c r="G286" s="37" t="n"/>
      <c r="H286" s="59">
        <f>IF(C286="","",SUMIFS($F$7:F286,$C$7:C286,C286)-SUMIFS($G$7:G286,$C$7:C286,C286))</f>
        <v/>
      </c>
    </row>
    <row r="287">
      <c r="B287" s="41" t="n"/>
      <c r="C287" s="18" t="n"/>
      <c r="D287" s="18" t="n"/>
      <c r="E287" s="18" t="n"/>
      <c r="F287" s="37" t="n"/>
      <c r="G287" s="37" t="n"/>
      <c r="H287" s="59">
        <f>IF(C287="","",SUMIFS($F$7:F287,$C$7:C287,C287)-SUMIFS($G$7:G287,$C$7:C287,C287))</f>
        <v/>
      </c>
    </row>
    <row r="288">
      <c r="B288" s="41" t="n"/>
      <c r="C288" s="18" t="n"/>
      <c r="D288" s="18" t="n"/>
      <c r="E288" s="18" t="n"/>
      <c r="F288" s="37" t="n"/>
      <c r="G288" s="37" t="n"/>
      <c r="H288" s="59">
        <f>IF(C288="","",SUMIFS($F$7:F288,$C$7:C288,C288)-SUMIFS($G$7:G288,$C$7:C288,C288))</f>
        <v/>
      </c>
    </row>
    <row r="289">
      <c r="B289" s="41" t="n"/>
      <c r="C289" s="18" t="n"/>
      <c r="D289" s="18" t="n"/>
      <c r="E289" s="18" t="n"/>
      <c r="F289" s="37" t="n"/>
      <c r="G289" s="37" t="n"/>
      <c r="H289" s="59">
        <f>IF(C289="","",SUMIFS($F$7:F289,$C$7:C289,C289)-SUMIFS($G$7:G289,$C$7:C289,C289))</f>
        <v/>
      </c>
    </row>
    <row r="290">
      <c r="B290" s="41" t="n"/>
      <c r="C290" s="18" t="n"/>
      <c r="D290" s="18" t="n"/>
      <c r="E290" s="18" t="n"/>
      <c r="F290" s="37" t="n"/>
      <c r="G290" s="37" t="n"/>
      <c r="H290" s="59">
        <f>IF(C290="","",SUMIFS($F$7:F290,$C$7:C290,C290)-SUMIFS($G$7:G290,$C$7:C290,C290))</f>
        <v/>
      </c>
    </row>
    <row r="291">
      <c r="B291" s="41" t="n"/>
      <c r="C291" s="18" t="n"/>
      <c r="D291" s="18" t="n"/>
      <c r="E291" s="18" t="n"/>
      <c r="F291" s="37" t="n"/>
      <c r="G291" s="37" t="n"/>
      <c r="H291" s="59">
        <f>IF(C291="","",SUMIFS($F$7:F291,$C$7:C291,C291)-SUMIFS($G$7:G291,$C$7:C291,C291))</f>
        <v/>
      </c>
    </row>
    <row r="292">
      <c r="B292" s="41" t="n"/>
      <c r="C292" s="18" t="n"/>
      <c r="D292" s="18" t="n"/>
      <c r="E292" s="18" t="n"/>
      <c r="F292" s="37" t="n"/>
      <c r="G292" s="37" t="n"/>
      <c r="H292" s="59">
        <f>IF(C292="","",SUMIFS($F$7:F292,$C$7:C292,C292)-SUMIFS($G$7:G292,$C$7:C292,C292))</f>
        <v/>
      </c>
    </row>
    <row r="293">
      <c r="B293" s="41" t="n"/>
      <c r="C293" s="18" t="n"/>
      <c r="D293" s="18" t="n"/>
      <c r="E293" s="18" t="n"/>
      <c r="F293" s="37" t="n"/>
      <c r="G293" s="37" t="n"/>
      <c r="H293" s="59">
        <f>IF(C293="","",SUMIFS($F$7:F293,$C$7:C293,C293)-SUMIFS($G$7:G293,$C$7:C293,C293))</f>
        <v/>
      </c>
    </row>
    <row r="294">
      <c r="B294" s="41" t="n"/>
      <c r="C294" s="18" t="n"/>
      <c r="D294" s="18" t="n"/>
      <c r="E294" s="18" t="n"/>
      <c r="F294" s="37" t="n"/>
      <c r="G294" s="37" t="n"/>
      <c r="H294" s="59">
        <f>IF(C294="","",SUMIFS($F$7:F294,$C$7:C294,C294)-SUMIFS($G$7:G294,$C$7:C294,C294))</f>
        <v/>
      </c>
    </row>
    <row r="295">
      <c r="B295" s="41" t="n"/>
      <c r="C295" s="18" t="n"/>
      <c r="D295" s="18" t="n"/>
      <c r="E295" s="18" t="n"/>
      <c r="F295" s="37" t="n"/>
      <c r="G295" s="37" t="n"/>
      <c r="H295" s="59">
        <f>IF(C295="","",SUMIFS($F$7:F295,$C$7:C295,C295)-SUMIFS($G$7:G295,$C$7:C295,C295))</f>
        <v/>
      </c>
    </row>
    <row r="296">
      <c r="B296" s="41" t="n"/>
      <c r="C296" s="18" t="n"/>
      <c r="D296" s="18" t="n"/>
      <c r="E296" s="18" t="n"/>
      <c r="F296" s="37" t="n"/>
      <c r="G296" s="37" t="n"/>
      <c r="H296" s="59">
        <f>IF(C296="","",SUMIFS($F$7:F296,$C$7:C296,C296)-SUMIFS($G$7:G296,$C$7:C296,C296))</f>
        <v/>
      </c>
    </row>
    <row r="297">
      <c r="B297" s="41" t="n"/>
      <c r="C297" s="18" t="n"/>
      <c r="D297" s="18" t="n"/>
      <c r="E297" s="18" t="n"/>
      <c r="F297" s="37" t="n"/>
      <c r="G297" s="37" t="n"/>
      <c r="H297" s="59">
        <f>IF(C297="","",SUMIFS($F$7:F297,$C$7:C297,C297)-SUMIFS($G$7:G297,$C$7:C297,C297))</f>
        <v/>
      </c>
    </row>
    <row r="298">
      <c r="B298" s="41" t="n"/>
      <c r="C298" s="18" t="n"/>
      <c r="D298" s="18" t="n"/>
      <c r="E298" s="18" t="n"/>
      <c r="F298" s="37" t="n"/>
      <c r="G298" s="37" t="n"/>
      <c r="H298" s="59">
        <f>IF(C298="","",SUMIFS($F$7:F298,$C$7:C298,C298)-SUMIFS($G$7:G298,$C$7:C298,C298))</f>
        <v/>
      </c>
    </row>
    <row r="299">
      <c r="B299" s="41" t="n"/>
      <c r="C299" s="18" t="n"/>
      <c r="D299" s="18" t="n"/>
      <c r="E299" s="18" t="n"/>
      <c r="F299" s="37" t="n"/>
      <c r="G299" s="37" t="n"/>
      <c r="H299" s="59">
        <f>IF(C299="","",SUMIFS($F$7:F299,$C$7:C299,C299)-SUMIFS($G$7:G299,$C$7:C299,C299))</f>
        <v/>
      </c>
    </row>
    <row r="300">
      <c r="B300" s="41" t="n"/>
      <c r="C300" s="18" t="n"/>
      <c r="D300" s="18" t="n"/>
      <c r="E300" s="18" t="n"/>
      <c r="F300" s="37" t="n"/>
      <c r="G300" s="37" t="n"/>
      <c r="H300" s="59">
        <f>IF(C300="","",SUMIFS($F$7:F300,$C$7:C300,C300)-SUMIFS($G$7:G300,$C$7:C300,C300))</f>
        <v/>
      </c>
    </row>
    <row r="301">
      <c r="B301" s="41" t="n"/>
      <c r="C301" s="18" t="n"/>
      <c r="D301" s="18" t="n"/>
      <c r="E301" s="18" t="n"/>
      <c r="F301" s="37" t="n"/>
      <c r="G301" s="37" t="n"/>
      <c r="H301" s="59">
        <f>IF(C301="","",SUMIFS($F$7:F301,$C$7:C301,C301)-SUMIFS($G$7:G301,$C$7:C301,C301))</f>
        <v/>
      </c>
    </row>
    <row r="302">
      <c r="B302" s="41" t="n"/>
      <c r="C302" s="18" t="n"/>
      <c r="D302" s="18" t="n"/>
      <c r="E302" s="18" t="n"/>
      <c r="F302" s="37" t="n"/>
      <c r="G302" s="37" t="n"/>
      <c r="H302" s="59">
        <f>IF(C302="","",SUMIFS($F$7:F302,$C$7:C302,C302)-SUMIFS($G$7:G302,$C$7:C302,C302))</f>
        <v/>
      </c>
    </row>
    <row r="303">
      <c r="B303" s="41" t="n"/>
      <c r="C303" s="18" t="n"/>
      <c r="D303" s="18" t="n"/>
      <c r="E303" s="18" t="n"/>
      <c r="F303" s="37" t="n"/>
      <c r="G303" s="37" t="n"/>
      <c r="H303" s="59">
        <f>IF(C303="","",SUMIFS($F$7:F303,$C$7:C303,C303)-SUMIFS($G$7:G303,$C$7:C303,C303))</f>
        <v/>
      </c>
    </row>
    <row r="304">
      <c r="B304" s="41" t="n"/>
      <c r="C304" s="18" t="n"/>
      <c r="D304" s="18" t="n"/>
      <c r="E304" s="18" t="n"/>
      <c r="F304" s="37" t="n"/>
      <c r="G304" s="37" t="n"/>
      <c r="H304" s="59">
        <f>IF(C304="","",SUMIFS($F$7:F304,$C$7:C304,C304)-SUMIFS($G$7:G304,$C$7:C304,C304))</f>
        <v/>
      </c>
    </row>
    <row r="305">
      <c r="B305" s="41" t="n"/>
      <c r="C305" s="18" t="n"/>
      <c r="D305" s="18" t="n"/>
      <c r="E305" s="18" t="n"/>
      <c r="F305" s="37" t="n"/>
      <c r="G305" s="37" t="n"/>
      <c r="H305" s="59">
        <f>IF(C305="","",SUMIFS($F$7:F305,$C$7:C305,C305)-SUMIFS($G$7:G305,$C$7:C305,C305))</f>
        <v/>
      </c>
    </row>
    <row r="306">
      <c r="B306" s="41" t="n"/>
      <c r="C306" s="18" t="n"/>
      <c r="D306" s="18" t="n"/>
      <c r="E306" s="18" t="n"/>
      <c r="F306" s="37" t="n"/>
      <c r="G306" s="37" t="n"/>
      <c r="H306" s="59">
        <f>IF(C306="","",SUMIFS($F$7:F306,$C$7:C306,C306)-SUMIFS($G$7:G306,$C$7:C306,C306))</f>
        <v/>
      </c>
    </row>
  </sheetData>
  <dataValidations count="2">
    <dataValidation sqref="C7:C306" showDropDown="0" showInputMessage="0" showErrorMessage="0" allowBlank="1" type="list">
      <formula1>=Tenants</formula1>
    </dataValidation>
    <dataValidation sqref="D7:D306" showDropDown="0" showInputMessage="0" showErrorMessage="0" allowBlank="1" type="list">
      <formula1>=DepositTypes</formula1>
    </dataValidation>
  </dataValidations>
  <printOptions horizontalCentered="1"/>
  <pageMargins left="0.4" right="0.4" top="1" bottom="1" header="0.5" footer="0.5"/>
  <pageSetup orientation="landscape" fitToHeight="0" fitToWidth="1"/>
  <headerFooter>
    <oddHeader/>
    <oddFooter>&amp;L&amp;8 Landlord's Desk · landlordsdesk.com&amp;R&amp;8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71717A"/>
    <outlinePr summaryBelow="1" summaryRight="1"/>
    <pageSetUpPr fitToPage="1"/>
  </sheetPr>
  <dimension ref="A1:R5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26" customWidth="1" min="3" max="3"/>
    <col width="10" customWidth="1" min="4" max="4"/>
    <col width="14" customWidth="1" min="5" max="5"/>
    <col width="10" customWidth="1" min="6" max="6"/>
    <col width="14" customWidth="1" min="7" max="7"/>
    <col width="14" customWidth="1" min="8" max="8"/>
    <col width="14" customWidth="1" min="9" max="9"/>
    <col width="16" customWidth="1" min="10" max="10"/>
    <col width="26" customWidth="1" min="11" max="11"/>
    <col width="12" customWidth="1" min="12" max="12"/>
    <col width="3" customWidth="1" min="13" max="13"/>
    <col width="24" customWidth="1" min="14" max="14"/>
    <col width="3" customWidth="1" min="15" max="15"/>
    <col width="22" customWidth="1" min="16" max="16"/>
    <col width="3" customWidth="1" min="17" max="17"/>
    <col width="20" customWidth="1" min="18" max="18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4" customHeight="1">
      <c r="A2" s="2" t="n"/>
      <c r="B2" s="3" t="inlineStr">
        <is>
          <t>Setup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4" t="inlineStr">
        <is>
          <t>Landlord's Desk</t>
        </is>
      </c>
    </row>
    <row r="3" ht="20" customHeight="1">
      <c r="A3" s="2" t="n"/>
      <c r="B3" s="5" t="inlineStr">
        <is>
          <t>Add your properties and tenants once. Every other tab reads from here.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6" t="inlineStr">
        <is>
          <t>landlordsdesk.com</t>
        </is>
      </c>
    </row>
    <row r="4" ht="6" customHeight="1"/>
    <row r="5">
      <c r="B5" s="44" t="inlineStr">
        <is>
          <t>Reporting year</t>
        </is>
      </c>
      <c r="C5" s="60" t="n">
        <v>2026</v>
      </c>
      <c r="D5" s="25" t="inlineStr">
        <is>
          <t>Used by the Dashboard and Monthly tabs.</t>
        </is>
      </c>
    </row>
    <row r="7">
      <c r="B7" s="36" t="inlineStr">
        <is>
          <t>Tenants</t>
        </is>
      </c>
      <c r="D7" s="25" t="inlineStr">
        <is>
          <t>One row per lease. White cells are yours to edit.</t>
        </is>
      </c>
    </row>
    <row r="8" ht="26" customHeight="1">
      <c r="B8" s="40" t="inlineStr">
        <is>
          <t>Tenant name</t>
        </is>
      </c>
      <c r="C8" s="40" t="inlineStr">
        <is>
          <t>Property</t>
        </is>
      </c>
      <c r="D8" s="40" t="inlineStr">
        <is>
          <t>Unit</t>
        </is>
      </c>
      <c r="E8" s="40" t="inlineStr">
        <is>
          <t>Monthly rent</t>
        </is>
      </c>
      <c r="F8" s="40" t="inlineStr">
        <is>
          <t>Rent due day</t>
        </is>
      </c>
      <c r="G8" s="40" t="inlineStr">
        <is>
          <t>Deposit held</t>
        </is>
      </c>
      <c r="H8" s="40" t="inlineStr">
        <is>
          <t>Lease start</t>
        </is>
      </c>
      <c r="I8" s="40" t="inlineStr">
        <is>
          <t>Lease end</t>
        </is>
      </c>
      <c r="J8" s="40" t="inlineStr">
        <is>
          <t>Phone</t>
        </is>
      </c>
      <c r="K8" s="40" t="inlineStr">
        <is>
          <t>Email</t>
        </is>
      </c>
      <c r="L8" s="40" t="inlineStr">
        <is>
          <t>Active?</t>
        </is>
      </c>
      <c r="N8" s="40" t="inlineStr">
        <is>
          <t>Payment methods</t>
        </is>
      </c>
      <c r="P8" s="14" t="inlineStr">
        <is>
          <t>Entry types (fixed)</t>
        </is>
      </c>
      <c r="R8" s="14" t="inlineStr">
        <is>
          <t>Deposit entry types</t>
        </is>
      </c>
    </row>
    <row r="9">
      <c r="B9" s="18" t="n"/>
      <c r="C9" s="18" t="n"/>
      <c r="D9" s="18" t="n"/>
      <c r="E9" s="37" t="n"/>
      <c r="F9" s="61" t="n"/>
      <c r="G9" s="37" t="n"/>
      <c r="H9" s="41" t="n"/>
      <c r="I9" s="41" t="n"/>
      <c r="J9" s="18" t="n"/>
      <c r="K9" s="18" t="n"/>
      <c r="L9" s="18" t="n"/>
      <c r="N9" s="18" t="inlineStr">
        <is>
          <t>Online (bank transfer)</t>
        </is>
      </c>
      <c r="P9" s="62" t="inlineStr">
        <is>
          <t>Rent</t>
        </is>
      </c>
      <c r="R9" s="62" t="inlineStr">
        <is>
          <t>Deposit received</t>
        </is>
      </c>
    </row>
    <row r="10">
      <c r="B10" s="18" t="n"/>
      <c r="C10" s="18" t="n"/>
      <c r="D10" s="18" t="n"/>
      <c r="E10" s="37" t="n"/>
      <c r="F10" s="61" t="n"/>
      <c r="G10" s="37" t="n"/>
      <c r="H10" s="41" t="n"/>
      <c r="I10" s="41" t="n"/>
      <c r="J10" s="18" t="n"/>
      <c r="K10" s="18" t="n"/>
      <c r="L10" s="18" t="n"/>
      <c r="N10" s="18" t="inlineStr">
        <is>
          <t>Online (card)</t>
        </is>
      </c>
      <c r="P10" s="62" t="inlineStr">
        <is>
          <t>Late fee</t>
        </is>
      </c>
      <c r="R10" s="62" t="inlineStr">
        <is>
          <t>Interest credited</t>
        </is>
      </c>
    </row>
    <row r="11">
      <c r="B11" s="18" t="n"/>
      <c r="C11" s="18" t="n"/>
      <c r="D11" s="18" t="n"/>
      <c r="E11" s="37" t="n"/>
      <c r="F11" s="61" t="n"/>
      <c r="G11" s="37" t="n"/>
      <c r="H11" s="41" t="n"/>
      <c r="I11" s="41" t="n"/>
      <c r="J11" s="18" t="n"/>
      <c r="K11" s="18" t="n"/>
      <c r="L11" s="18" t="n"/>
      <c r="N11" s="18" t="inlineStr">
        <is>
          <t>Zelle</t>
        </is>
      </c>
      <c r="P11" s="62" t="inlineStr">
        <is>
          <t>Utility</t>
        </is>
      </c>
      <c r="R11" s="62" t="inlineStr">
        <is>
          <t>Deduction</t>
        </is>
      </c>
    </row>
    <row r="12">
      <c r="B12" s="18" t="n"/>
      <c r="C12" s="18" t="n"/>
      <c r="D12" s="18" t="n"/>
      <c r="E12" s="37" t="n"/>
      <c r="F12" s="61" t="n"/>
      <c r="G12" s="37" t="n"/>
      <c r="H12" s="41" t="n"/>
      <c r="I12" s="41" t="n"/>
      <c r="J12" s="18" t="n"/>
      <c r="K12" s="18" t="n"/>
      <c r="L12" s="18" t="n"/>
      <c r="N12" s="18" t="inlineStr">
        <is>
          <t>Check</t>
        </is>
      </c>
      <c r="P12" s="62" t="inlineStr">
        <is>
          <t>Other charge</t>
        </is>
      </c>
      <c r="R12" s="62" t="inlineStr">
        <is>
          <t>Returned to tenant</t>
        </is>
      </c>
    </row>
    <row r="13">
      <c r="B13" s="18" t="n"/>
      <c r="C13" s="18" t="n"/>
      <c r="D13" s="18" t="n"/>
      <c r="E13" s="37" t="n"/>
      <c r="F13" s="61" t="n"/>
      <c r="G13" s="37" t="n"/>
      <c r="H13" s="41" t="n"/>
      <c r="I13" s="41" t="n"/>
      <c r="J13" s="18" t="n"/>
      <c r="K13" s="18" t="n"/>
      <c r="L13" s="18" t="n"/>
      <c r="N13" s="18" t="inlineStr">
        <is>
          <t>Cash</t>
        </is>
      </c>
      <c r="P13" s="62" t="inlineStr">
        <is>
          <t>Payment</t>
        </is>
      </c>
    </row>
    <row r="14">
      <c r="B14" s="18" t="n"/>
      <c r="C14" s="18" t="n"/>
      <c r="D14" s="18" t="n"/>
      <c r="E14" s="37" t="n"/>
      <c r="F14" s="61" t="n"/>
      <c r="G14" s="37" t="n"/>
      <c r="H14" s="41" t="n"/>
      <c r="I14" s="41" t="n"/>
      <c r="J14" s="18" t="n"/>
      <c r="K14" s="18" t="n"/>
      <c r="L14" s="18" t="n"/>
      <c r="N14" s="18" t="inlineStr">
        <is>
          <t>Money order</t>
        </is>
      </c>
      <c r="P14" s="62" t="inlineStr">
        <is>
          <t>Adjustment</t>
        </is>
      </c>
    </row>
    <row r="15">
      <c r="B15" s="18" t="n"/>
      <c r="C15" s="18" t="n"/>
      <c r="D15" s="18" t="n"/>
      <c r="E15" s="37" t="n"/>
      <c r="F15" s="61" t="n"/>
      <c r="G15" s="37" t="n"/>
      <c r="H15" s="41" t="n"/>
      <c r="I15" s="41" t="n"/>
      <c r="J15" s="18" t="n"/>
      <c r="K15" s="18" t="n"/>
      <c r="L15" s="18" t="n"/>
      <c r="N15" s="18" t="inlineStr">
        <is>
          <t>Venmo</t>
        </is>
      </c>
      <c r="P15" s="62" t="inlineStr">
        <is>
          <t>Void</t>
        </is>
      </c>
    </row>
    <row r="16">
      <c r="B16" s="18" t="n"/>
      <c r="C16" s="18" t="n"/>
      <c r="D16" s="18" t="n"/>
      <c r="E16" s="37" t="n"/>
      <c r="F16" s="61" t="n"/>
      <c r="G16" s="37" t="n"/>
      <c r="H16" s="41" t="n"/>
      <c r="I16" s="41" t="n"/>
      <c r="J16" s="18" t="n"/>
      <c r="K16" s="18" t="n"/>
      <c r="L16" s="18" t="n"/>
      <c r="N16" s="18" t="inlineStr">
        <is>
          <t>Other</t>
        </is>
      </c>
      <c r="P16" s="62" t="inlineStr">
        <is>
          <t>Refund</t>
        </is>
      </c>
    </row>
    <row r="17">
      <c r="B17" s="18" t="n"/>
      <c r="C17" s="18" t="n"/>
      <c r="D17" s="18" t="n"/>
      <c r="E17" s="37" t="n"/>
      <c r="F17" s="61" t="n"/>
      <c r="G17" s="37" t="n"/>
      <c r="H17" s="41" t="n"/>
      <c r="I17" s="41" t="n"/>
      <c r="J17" s="18" t="n"/>
      <c r="K17" s="18" t="n"/>
      <c r="L17" s="18" t="n"/>
      <c r="N17" s="18" t="n"/>
    </row>
    <row r="18">
      <c r="B18" s="18" t="n"/>
      <c r="C18" s="18" t="n"/>
      <c r="D18" s="18" t="n"/>
      <c r="E18" s="37" t="n"/>
      <c r="F18" s="61" t="n"/>
      <c r="G18" s="37" t="n"/>
      <c r="H18" s="41" t="n"/>
      <c r="I18" s="41" t="n"/>
      <c r="J18" s="18" t="n"/>
      <c r="K18" s="18" t="n"/>
      <c r="L18" s="18" t="n"/>
      <c r="N18" s="18" t="n"/>
    </row>
    <row r="19">
      <c r="B19" s="18" t="n"/>
      <c r="C19" s="18" t="n"/>
      <c r="D19" s="18" t="n"/>
      <c r="E19" s="37" t="n"/>
      <c r="F19" s="61" t="n"/>
      <c r="G19" s="37" t="n"/>
      <c r="H19" s="41" t="n"/>
      <c r="I19" s="41" t="n"/>
      <c r="J19" s="18" t="n"/>
      <c r="K19" s="18" t="n"/>
      <c r="L19" s="18" t="n"/>
      <c r="N19" s="18" t="n"/>
    </row>
    <row r="20">
      <c r="B20" s="18" t="n"/>
      <c r="C20" s="18" t="n"/>
      <c r="D20" s="18" t="n"/>
      <c r="E20" s="37" t="n"/>
      <c r="F20" s="61" t="n"/>
      <c r="G20" s="37" t="n"/>
      <c r="H20" s="41" t="n"/>
      <c r="I20" s="41" t="n"/>
      <c r="J20" s="18" t="n"/>
      <c r="K20" s="18" t="n"/>
      <c r="L20" s="18" t="n"/>
      <c r="N20" s="18" t="n"/>
    </row>
    <row r="21">
      <c r="B21" s="18" t="n"/>
      <c r="C21" s="18" t="n"/>
      <c r="D21" s="18" t="n"/>
      <c r="E21" s="37" t="n"/>
      <c r="F21" s="61" t="n"/>
      <c r="G21" s="37" t="n"/>
      <c r="H21" s="41" t="n"/>
      <c r="I21" s="41" t="n"/>
      <c r="J21" s="18" t="n"/>
      <c r="K21" s="18" t="n"/>
      <c r="L21" s="18" t="n"/>
    </row>
    <row r="22">
      <c r="B22" s="18" t="n"/>
      <c r="C22" s="18" t="n"/>
      <c r="D22" s="18" t="n"/>
      <c r="E22" s="37" t="n"/>
      <c r="F22" s="61" t="n"/>
      <c r="G22" s="37" t="n"/>
      <c r="H22" s="41" t="n"/>
      <c r="I22" s="41" t="n"/>
      <c r="J22" s="18" t="n"/>
      <c r="K22" s="18" t="n"/>
      <c r="L22" s="18" t="n"/>
    </row>
    <row r="23">
      <c r="B23" s="18" t="n"/>
      <c r="C23" s="18" t="n"/>
      <c r="D23" s="18" t="n"/>
      <c r="E23" s="37" t="n"/>
      <c r="F23" s="61" t="n"/>
      <c r="G23" s="37" t="n"/>
      <c r="H23" s="41" t="n"/>
      <c r="I23" s="41" t="n"/>
      <c r="J23" s="18" t="n"/>
      <c r="K23" s="18" t="n"/>
      <c r="L23" s="18" t="n"/>
    </row>
    <row r="24">
      <c r="B24" s="18" t="n"/>
      <c r="C24" s="18" t="n"/>
      <c r="D24" s="18" t="n"/>
      <c r="E24" s="37" t="n"/>
      <c r="F24" s="61" t="n"/>
      <c r="G24" s="37" t="n"/>
      <c r="H24" s="41" t="n"/>
      <c r="I24" s="41" t="n"/>
      <c r="J24" s="18" t="n"/>
      <c r="K24" s="18" t="n"/>
      <c r="L24" s="18" t="n"/>
    </row>
    <row r="25">
      <c r="B25" s="18" t="n"/>
      <c r="C25" s="18" t="n"/>
      <c r="D25" s="18" t="n"/>
      <c r="E25" s="37" t="n"/>
      <c r="F25" s="61" t="n"/>
      <c r="G25" s="37" t="n"/>
      <c r="H25" s="41" t="n"/>
      <c r="I25" s="41" t="n"/>
      <c r="J25" s="18" t="n"/>
      <c r="K25" s="18" t="n"/>
      <c r="L25" s="18" t="n"/>
    </row>
    <row r="26">
      <c r="B26" s="18" t="n"/>
      <c r="C26" s="18" t="n"/>
      <c r="D26" s="18" t="n"/>
      <c r="E26" s="37" t="n"/>
      <c r="F26" s="61" t="n"/>
      <c r="G26" s="37" t="n"/>
      <c r="H26" s="41" t="n"/>
      <c r="I26" s="41" t="n"/>
      <c r="J26" s="18" t="n"/>
      <c r="K26" s="18" t="n"/>
      <c r="L26" s="18" t="n"/>
    </row>
    <row r="27">
      <c r="B27" s="18" t="n"/>
      <c r="C27" s="18" t="n"/>
      <c r="D27" s="18" t="n"/>
      <c r="E27" s="37" t="n"/>
      <c r="F27" s="61" t="n"/>
      <c r="G27" s="37" t="n"/>
      <c r="H27" s="41" t="n"/>
      <c r="I27" s="41" t="n"/>
      <c r="J27" s="18" t="n"/>
      <c r="K27" s="18" t="n"/>
      <c r="L27" s="18" t="n"/>
    </row>
    <row r="28">
      <c r="B28" s="18" t="n"/>
      <c r="C28" s="18" t="n"/>
      <c r="D28" s="18" t="n"/>
      <c r="E28" s="37" t="n"/>
      <c r="F28" s="61" t="n"/>
      <c r="G28" s="37" t="n"/>
      <c r="H28" s="41" t="n"/>
      <c r="I28" s="41" t="n"/>
      <c r="J28" s="18" t="n"/>
      <c r="K28" s="18" t="n"/>
      <c r="L28" s="18" t="n"/>
    </row>
    <row r="29">
      <c r="B29" s="18" t="n"/>
      <c r="C29" s="18" t="n"/>
      <c r="D29" s="18" t="n"/>
      <c r="E29" s="37" t="n"/>
      <c r="F29" s="61" t="n"/>
      <c r="G29" s="37" t="n"/>
      <c r="H29" s="41" t="n"/>
      <c r="I29" s="41" t="n"/>
      <c r="J29" s="18" t="n"/>
      <c r="K29" s="18" t="n"/>
      <c r="L29" s="18" t="n"/>
    </row>
    <row r="30">
      <c r="B30" s="18" t="n"/>
      <c r="C30" s="18" t="n"/>
      <c r="D30" s="18" t="n"/>
      <c r="E30" s="37" t="n"/>
      <c r="F30" s="61" t="n"/>
      <c r="G30" s="37" t="n"/>
      <c r="H30" s="41" t="n"/>
      <c r="I30" s="41" t="n"/>
      <c r="J30" s="18" t="n"/>
      <c r="K30" s="18" t="n"/>
      <c r="L30" s="18" t="n"/>
    </row>
    <row r="31">
      <c r="B31" s="18" t="n"/>
      <c r="C31" s="18" t="n"/>
      <c r="D31" s="18" t="n"/>
      <c r="E31" s="37" t="n"/>
      <c r="F31" s="61" t="n"/>
      <c r="G31" s="37" t="n"/>
      <c r="H31" s="41" t="n"/>
      <c r="I31" s="41" t="n"/>
      <c r="J31" s="18" t="n"/>
      <c r="K31" s="18" t="n"/>
      <c r="L31" s="18" t="n"/>
    </row>
    <row r="32">
      <c r="B32" s="18" t="n"/>
      <c r="C32" s="18" t="n"/>
      <c r="D32" s="18" t="n"/>
      <c r="E32" s="37" t="n"/>
      <c r="F32" s="61" t="n"/>
      <c r="G32" s="37" t="n"/>
      <c r="H32" s="41" t="n"/>
      <c r="I32" s="41" t="n"/>
      <c r="J32" s="18" t="n"/>
      <c r="K32" s="18" t="n"/>
      <c r="L32" s="18" t="n"/>
    </row>
    <row r="33">
      <c r="B33" s="18" t="n"/>
      <c r="C33" s="18" t="n"/>
      <c r="D33" s="18" t="n"/>
      <c r="E33" s="37" t="n"/>
      <c r="F33" s="61" t="n"/>
      <c r="G33" s="37" t="n"/>
      <c r="H33" s="41" t="n"/>
      <c r="I33" s="41" t="n"/>
      <c r="J33" s="18" t="n"/>
      <c r="K33" s="18" t="n"/>
      <c r="L33" s="18" t="n"/>
    </row>
    <row r="34">
      <c r="B34" s="18" t="n"/>
      <c r="C34" s="18" t="n"/>
      <c r="D34" s="18" t="n"/>
      <c r="E34" s="37" t="n"/>
      <c r="F34" s="61" t="n"/>
      <c r="G34" s="37" t="n"/>
      <c r="H34" s="41" t="n"/>
      <c r="I34" s="41" t="n"/>
      <c r="J34" s="18" t="n"/>
      <c r="K34" s="18" t="n"/>
      <c r="L34" s="18" t="n"/>
    </row>
    <row r="35">
      <c r="B35" s="18" t="n"/>
      <c r="C35" s="18" t="n"/>
      <c r="D35" s="18" t="n"/>
      <c r="E35" s="37" t="n"/>
      <c r="F35" s="61" t="n"/>
      <c r="G35" s="37" t="n"/>
      <c r="H35" s="41" t="n"/>
      <c r="I35" s="41" t="n"/>
      <c r="J35" s="18" t="n"/>
      <c r="K35" s="18" t="n"/>
      <c r="L35" s="18" t="n"/>
    </row>
    <row r="36">
      <c r="B36" s="18" t="n"/>
      <c r="C36" s="18" t="n"/>
      <c r="D36" s="18" t="n"/>
      <c r="E36" s="37" t="n"/>
      <c r="F36" s="61" t="n"/>
      <c r="G36" s="37" t="n"/>
      <c r="H36" s="41" t="n"/>
      <c r="I36" s="41" t="n"/>
      <c r="J36" s="18" t="n"/>
      <c r="K36" s="18" t="n"/>
      <c r="L36" s="18" t="n"/>
    </row>
    <row r="37">
      <c r="B37" s="18" t="n"/>
      <c r="C37" s="18" t="n"/>
      <c r="D37" s="18" t="n"/>
      <c r="E37" s="37" t="n"/>
      <c r="F37" s="61" t="n"/>
      <c r="G37" s="37" t="n"/>
      <c r="H37" s="41" t="n"/>
      <c r="I37" s="41" t="n"/>
      <c r="J37" s="18" t="n"/>
      <c r="K37" s="18" t="n"/>
      <c r="L37" s="18" t="n"/>
    </row>
    <row r="38">
      <c r="B38" s="18" t="n"/>
      <c r="C38" s="18" t="n"/>
      <c r="D38" s="18" t="n"/>
      <c r="E38" s="37" t="n"/>
      <c r="F38" s="61" t="n"/>
      <c r="G38" s="37" t="n"/>
      <c r="H38" s="41" t="n"/>
      <c r="I38" s="41" t="n"/>
      <c r="J38" s="18" t="n"/>
      <c r="K38" s="18" t="n"/>
      <c r="L38" s="18" t="n"/>
    </row>
    <row r="39">
      <c r="B39" s="18" t="n"/>
      <c r="C39" s="18" t="n"/>
      <c r="D39" s="18" t="n"/>
      <c r="E39" s="37" t="n"/>
      <c r="F39" s="61" t="n"/>
      <c r="G39" s="37" t="n"/>
      <c r="H39" s="41" t="n"/>
      <c r="I39" s="41" t="n"/>
      <c r="J39" s="18" t="n"/>
      <c r="K39" s="18" t="n"/>
      <c r="L39" s="18" t="n"/>
    </row>
    <row r="40">
      <c r="B40" s="18" t="n"/>
      <c r="C40" s="18" t="n"/>
      <c r="D40" s="18" t="n"/>
      <c r="E40" s="37" t="n"/>
      <c r="F40" s="61" t="n"/>
      <c r="G40" s="37" t="n"/>
      <c r="H40" s="41" t="n"/>
      <c r="I40" s="41" t="n"/>
      <c r="J40" s="18" t="n"/>
      <c r="K40" s="18" t="n"/>
      <c r="L40" s="18" t="n"/>
    </row>
    <row r="41">
      <c r="B41" s="18" t="n"/>
      <c r="C41" s="18" t="n"/>
      <c r="D41" s="18" t="n"/>
      <c r="E41" s="37" t="n"/>
      <c r="F41" s="61" t="n"/>
      <c r="G41" s="37" t="n"/>
      <c r="H41" s="41" t="n"/>
      <c r="I41" s="41" t="n"/>
      <c r="J41" s="18" t="n"/>
      <c r="K41" s="18" t="n"/>
      <c r="L41" s="18" t="n"/>
    </row>
    <row r="42">
      <c r="B42" s="18" t="n"/>
      <c r="C42" s="18" t="n"/>
      <c r="D42" s="18" t="n"/>
      <c r="E42" s="37" t="n"/>
      <c r="F42" s="61" t="n"/>
      <c r="G42" s="37" t="n"/>
      <c r="H42" s="41" t="n"/>
      <c r="I42" s="41" t="n"/>
      <c r="J42" s="18" t="n"/>
      <c r="K42" s="18" t="n"/>
      <c r="L42" s="18" t="n"/>
    </row>
    <row r="43">
      <c r="B43" s="18" t="n"/>
      <c r="C43" s="18" t="n"/>
      <c r="D43" s="18" t="n"/>
      <c r="E43" s="37" t="n"/>
      <c r="F43" s="61" t="n"/>
      <c r="G43" s="37" t="n"/>
      <c r="H43" s="41" t="n"/>
      <c r="I43" s="41" t="n"/>
      <c r="J43" s="18" t="n"/>
      <c r="K43" s="18" t="n"/>
      <c r="L43" s="18" t="n"/>
    </row>
    <row r="44">
      <c r="B44" s="18" t="n"/>
      <c r="C44" s="18" t="n"/>
      <c r="D44" s="18" t="n"/>
      <c r="E44" s="37" t="n"/>
      <c r="F44" s="61" t="n"/>
      <c r="G44" s="37" t="n"/>
      <c r="H44" s="41" t="n"/>
      <c r="I44" s="41" t="n"/>
      <c r="J44" s="18" t="n"/>
      <c r="K44" s="18" t="n"/>
      <c r="L44" s="18" t="n"/>
    </row>
    <row r="45">
      <c r="B45" s="18" t="n"/>
      <c r="C45" s="18" t="n"/>
      <c r="D45" s="18" t="n"/>
      <c r="E45" s="37" t="n"/>
      <c r="F45" s="61" t="n"/>
      <c r="G45" s="37" t="n"/>
      <c r="H45" s="41" t="n"/>
      <c r="I45" s="41" t="n"/>
      <c r="J45" s="18" t="n"/>
      <c r="K45" s="18" t="n"/>
      <c r="L45" s="18" t="n"/>
    </row>
    <row r="46">
      <c r="B46" s="18" t="n"/>
      <c r="C46" s="18" t="n"/>
      <c r="D46" s="18" t="n"/>
      <c r="E46" s="37" t="n"/>
      <c r="F46" s="61" t="n"/>
      <c r="G46" s="37" t="n"/>
      <c r="H46" s="41" t="n"/>
      <c r="I46" s="41" t="n"/>
      <c r="J46" s="18" t="n"/>
      <c r="K46" s="18" t="n"/>
      <c r="L46" s="18" t="n"/>
    </row>
    <row r="47">
      <c r="B47" s="18" t="n"/>
      <c r="C47" s="18" t="n"/>
      <c r="D47" s="18" t="n"/>
      <c r="E47" s="37" t="n"/>
      <c r="F47" s="61" t="n"/>
      <c r="G47" s="37" t="n"/>
      <c r="H47" s="41" t="n"/>
      <c r="I47" s="41" t="n"/>
      <c r="J47" s="18" t="n"/>
      <c r="K47" s="18" t="n"/>
      <c r="L47" s="18" t="n"/>
    </row>
    <row r="48">
      <c r="B48" s="18" t="n"/>
      <c r="C48" s="18" t="n"/>
      <c r="D48" s="18" t="n"/>
      <c r="E48" s="37" t="n"/>
      <c r="F48" s="61" t="n"/>
      <c r="G48" s="37" t="n"/>
      <c r="H48" s="41" t="n"/>
      <c r="I48" s="41" t="n"/>
      <c r="J48" s="18" t="n"/>
      <c r="K48" s="18" t="n"/>
      <c r="L48" s="18" t="n"/>
    </row>
    <row r="49">
      <c r="B49" s="18" t="n"/>
      <c r="C49" s="18" t="n"/>
      <c r="D49" s="18" t="n"/>
      <c r="E49" s="37" t="n"/>
      <c r="F49" s="61" t="n"/>
      <c r="G49" s="37" t="n"/>
      <c r="H49" s="41" t="n"/>
      <c r="I49" s="41" t="n"/>
      <c r="J49" s="18" t="n"/>
      <c r="K49" s="18" t="n"/>
      <c r="L49" s="18" t="n"/>
    </row>
    <row r="50">
      <c r="B50" s="18" t="n"/>
      <c r="C50" s="18" t="n"/>
      <c r="D50" s="18" t="n"/>
      <c r="E50" s="37" t="n"/>
      <c r="F50" s="61" t="n"/>
      <c r="G50" s="37" t="n"/>
      <c r="H50" s="41" t="n"/>
      <c r="I50" s="41" t="n"/>
      <c r="J50" s="18" t="n"/>
      <c r="K50" s="18" t="n"/>
      <c r="L50" s="18" t="n"/>
    </row>
    <row r="51">
      <c r="B51" s="18" t="n"/>
      <c r="C51" s="18" t="n"/>
      <c r="D51" s="18" t="n"/>
      <c r="E51" s="37" t="n"/>
      <c r="F51" s="61" t="n"/>
      <c r="G51" s="37" t="n"/>
      <c r="H51" s="41" t="n"/>
      <c r="I51" s="41" t="n"/>
      <c r="J51" s="18" t="n"/>
      <c r="K51" s="18" t="n"/>
      <c r="L51" s="18" t="n"/>
    </row>
    <row r="52">
      <c r="B52" s="18" t="n"/>
      <c r="C52" s="18" t="n"/>
      <c r="D52" s="18" t="n"/>
      <c r="E52" s="37" t="n"/>
      <c r="F52" s="61" t="n"/>
      <c r="G52" s="37" t="n"/>
      <c r="H52" s="41" t="n"/>
      <c r="I52" s="41" t="n"/>
      <c r="J52" s="18" t="n"/>
      <c r="K52" s="18" t="n"/>
      <c r="L52" s="18" t="n"/>
    </row>
    <row r="53">
      <c r="B53" s="18" t="n"/>
      <c r="C53" s="18" t="n"/>
      <c r="D53" s="18" t="n"/>
      <c r="E53" s="37" t="n"/>
      <c r="F53" s="61" t="n"/>
      <c r="G53" s="37" t="n"/>
      <c r="H53" s="41" t="n"/>
      <c r="I53" s="41" t="n"/>
      <c r="J53" s="18" t="n"/>
      <c r="K53" s="18" t="n"/>
      <c r="L53" s="18" t="n"/>
    </row>
    <row r="54">
      <c r="B54" s="18" t="n"/>
      <c r="C54" s="18" t="n"/>
      <c r="D54" s="18" t="n"/>
      <c r="E54" s="37" t="n"/>
      <c r="F54" s="61" t="n"/>
      <c r="G54" s="37" t="n"/>
      <c r="H54" s="41" t="n"/>
      <c r="I54" s="41" t="n"/>
      <c r="J54" s="18" t="n"/>
      <c r="K54" s="18" t="n"/>
      <c r="L54" s="18" t="n"/>
    </row>
    <row r="55">
      <c r="B55" s="18" t="n"/>
      <c r="C55" s="18" t="n"/>
      <c r="D55" s="18" t="n"/>
      <c r="E55" s="37" t="n"/>
      <c r="F55" s="61" t="n"/>
      <c r="G55" s="37" t="n"/>
      <c r="H55" s="41" t="n"/>
      <c r="I55" s="41" t="n"/>
      <c r="J55" s="18" t="n"/>
      <c r="K55" s="18" t="n"/>
      <c r="L55" s="18" t="n"/>
    </row>
    <row r="56">
      <c r="B56" s="18" t="n"/>
      <c r="C56" s="18" t="n"/>
      <c r="D56" s="18" t="n"/>
      <c r="E56" s="37" t="n"/>
      <c r="F56" s="61" t="n"/>
      <c r="G56" s="37" t="n"/>
      <c r="H56" s="41" t="n"/>
      <c r="I56" s="41" t="n"/>
      <c r="J56" s="18" t="n"/>
      <c r="K56" s="18" t="n"/>
      <c r="L56" s="18" t="n"/>
    </row>
    <row r="57">
      <c r="B57" s="18" t="n"/>
      <c r="C57" s="18" t="n"/>
      <c r="D57" s="18" t="n"/>
      <c r="E57" s="37" t="n"/>
      <c r="F57" s="61" t="n"/>
      <c r="G57" s="37" t="n"/>
      <c r="H57" s="41" t="n"/>
      <c r="I57" s="41" t="n"/>
      <c r="J57" s="18" t="n"/>
      <c r="K57" s="18" t="n"/>
      <c r="L57" s="18" t="n"/>
    </row>
    <row r="58">
      <c r="B58" s="18" t="n"/>
      <c r="C58" s="18" t="n"/>
      <c r="D58" s="18" t="n"/>
      <c r="E58" s="37" t="n"/>
      <c r="F58" s="61" t="n"/>
      <c r="G58" s="37" t="n"/>
      <c r="H58" s="41" t="n"/>
      <c r="I58" s="41" t="n"/>
      <c r="J58" s="18" t="n"/>
      <c r="K58" s="18" t="n"/>
      <c r="L58" s="18" t="n"/>
    </row>
  </sheetData>
  <dataValidations count="1">
    <dataValidation sqref="L9:L58" showDropDown="0" showInputMessage="0" showErrorMessage="0" allowBlank="1" type="list">
      <formula1>"Yes,No"</formula1>
    </dataValidation>
  </dataValidations>
  <printOptions horizontalCentered="1"/>
  <pageMargins left="0.4" right="0.4" top="1" bottom="1" header="0.5" footer="0.5"/>
  <pageSetup orientation="landscape" fitToHeight="0" fitToWidth="1"/>
  <headerFooter>
    <oddHeader/>
    <oddFooter>&amp;L&amp;8 Landlord's Desk · landlordsdesk.com&amp;R&amp;8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2026-09-27T06:10:58Z</dcterms:created>
  <dcterms:modified xsi:type="dcterms:W3CDTF">2026-09-27T06:10:59Z</dcterms:modified>
</cp:coreProperties>
</file>